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5" yWindow="-15" windowWidth="10320" windowHeight="8295"/>
  </bookViews>
  <sheets>
    <sheet name="Introduction" sheetId="7" r:id="rId1"/>
    <sheet name="Enabling circular calculations" sheetId="8" r:id="rId2"/>
    <sheet name="Alpha plots" sheetId="5" r:id="rId3"/>
    <sheet name="Method" sheetId="2" r:id="rId4"/>
    <sheet name="Results" sheetId="9" r:id="rId5"/>
    <sheet name="Selected standard" sheetId="1" r:id="rId6"/>
    <sheet name="Standard logits" sheetId="6" r:id="rId7"/>
  </sheets>
  <definedNames>
    <definedName name="_111">'Standard logits'!$B$4</definedName>
    <definedName name="_112">'Standard logits'!$C$4</definedName>
    <definedName name="_113">'Standard logits'!$D$4</definedName>
    <definedName name="_121">'Standard logits'!$F$4</definedName>
    <definedName name="_122">'Standard logits'!$G$4</definedName>
    <definedName name="_123">'Standard logits'!$H$4</definedName>
    <definedName name="_131">'Standard logits'!$J$4</definedName>
    <definedName name="_132">'Standard logits'!$K$4</definedName>
    <definedName name="_133">'Standard logits'!$L$4</definedName>
    <definedName name="_141">'Standard logits'!$N$4</definedName>
    <definedName name="_142">'Standard logits'!$O$4</definedName>
    <definedName name="_143">'Standard logits'!$P$4</definedName>
    <definedName name="_211">'Standard logits'!$R$4</definedName>
    <definedName name="_212">'Standard logits'!$S$4</definedName>
    <definedName name="_213">'Standard logits'!$T$4</definedName>
    <definedName name="_221">'Standard logits'!$V$4</definedName>
    <definedName name="_222">'Standard logits'!$W$4</definedName>
    <definedName name="_223">'Standard logits'!$X$4</definedName>
    <definedName name="_231">'Standard logits'!$Z$4</definedName>
    <definedName name="_232">'Standard logits'!$AA$4</definedName>
    <definedName name="_233">'Standard logits'!$AB$4</definedName>
    <definedName name="_241">'Standard logits'!$AD$4</definedName>
    <definedName name="_242">'Standard logits'!$AE$4</definedName>
    <definedName name="_243">'Standard logits'!$AF$4</definedName>
    <definedName name="_251">'Standard logits'!$AH$4</definedName>
    <definedName name="_252">'Standard logits'!$AI$4</definedName>
    <definedName name="_253">'Standard logits'!$AJ$4</definedName>
    <definedName name="Adultdata">Method!$T$41:$T$42</definedName>
    <definedName name="Family">Method!$T$2:$T$3</definedName>
    <definedName name="FamSelect">Method!$U$1</definedName>
    <definedName name="Iterate">Method!$B$3</definedName>
    <definedName name="Princeton">Method!$T$6:$T$9</definedName>
    <definedName name="Sex">Method!$T$17:$T$18</definedName>
    <definedName name="solver_adj" localSheetId="3" hidden="1">#REF!</definedName>
    <definedName name="solver_cvg" localSheetId="3" hidden="1">0.0001</definedName>
    <definedName name="solver_drv" localSheetId="3" hidden="1">2</definedName>
    <definedName name="solver_eng" localSheetId="3" hidden="1">1</definedName>
    <definedName name="solver_eng" localSheetId="5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eg" localSheetId="5" hidden="1">1</definedName>
    <definedName name="solver_nod" localSheetId="3" hidden="1">2147483647</definedName>
    <definedName name="solver_num" localSheetId="3" hidden="1">0</definedName>
    <definedName name="solver_num" localSheetId="5" hidden="1">0</definedName>
    <definedName name="solver_nwt" localSheetId="3" hidden="1">1</definedName>
    <definedName name="solver_opt" localSheetId="3" hidden="1">#REF!</definedName>
    <definedName name="solver_opt" localSheetId="5" hidden="1">'Selected standard'!$F$10</definedName>
    <definedName name="solver_pre" localSheetId="3" hidden="1">0.000001</definedName>
    <definedName name="solver_rbv" localSheetId="3" hidden="1">2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3</definedName>
    <definedName name="solver_typ" localSheetId="5" hidden="1">3</definedName>
    <definedName name="solver_val" localSheetId="3" hidden="1">0</definedName>
    <definedName name="solver_val" localSheetId="5" hidden="1">0</definedName>
    <definedName name="solver_ver" localSheetId="3" hidden="1">3</definedName>
    <definedName name="solver_ver" localSheetId="5" hidden="1">3</definedName>
    <definedName name="TrueFalse">Method!$T$47:$T$48</definedName>
    <definedName name="UN">Method!$T$10:$T$14</definedName>
  </definedNames>
  <calcPr calcId="125725" iterate="1" iterateCount="1000" iterateDelta="1.0000000000000001E-5"/>
</workbook>
</file>

<file path=xl/calcChain.xml><?xml version="1.0" encoding="utf-8"?>
<calcChain xmlns="http://schemas.openxmlformats.org/spreadsheetml/2006/main">
  <c r="U46" i="2"/>
  <c r="P6"/>
  <c r="B39" i="7"/>
  <c r="C27"/>
  <c r="B15"/>
  <c r="E5" i="9" l="1"/>
  <c r="AF25" i="5" l="1"/>
  <c r="AF24"/>
  <c r="AD16"/>
  <c r="AA16"/>
  <c r="AD6"/>
  <c r="AA6"/>
  <c r="U1" i="2" l="1"/>
  <c r="U5" s="1"/>
  <c r="F40" i="7" s="1"/>
  <c r="U16" i="2"/>
  <c r="U23"/>
  <c r="U25" s="1"/>
  <c r="U27" s="1"/>
  <c r="U29" s="1"/>
  <c r="U31" s="1"/>
  <c r="U33" s="1"/>
  <c r="U35" s="1"/>
  <c r="U37" s="1"/>
  <c r="U24"/>
  <c r="U26" s="1"/>
  <c r="U28" s="1"/>
  <c r="U30" s="1"/>
  <c r="U32" s="1"/>
  <c r="U34" s="1"/>
  <c r="U36" s="1"/>
  <c r="U38" s="1"/>
  <c r="U40"/>
  <c r="D24"/>
  <c r="X22" i="5" s="1"/>
  <c r="D23" i="2"/>
  <c r="X21" i="5" s="1"/>
  <c r="D22" i="2"/>
  <c r="X20" i="5" s="1"/>
  <c r="D21" i="2"/>
  <c r="X19" i="5" s="1"/>
  <c r="D20" i="2"/>
  <c r="X18" i="5" s="1"/>
  <c r="D19" i="2"/>
  <c r="X17" i="5" s="1"/>
  <c r="D18" i="2"/>
  <c r="X16" i="5" s="1"/>
  <c r="C24" i="2"/>
  <c r="C23"/>
  <c r="C22"/>
  <c r="C21"/>
  <c r="C20"/>
  <c r="C19"/>
  <c r="C18"/>
  <c r="D13"/>
  <c r="D12"/>
  <c r="X11" i="5" s="1"/>
  <c r="AA11" s="1"/>
  <c r="D11" i="2"/>
  <c r="X10" i="5" s="1"/>
  <c r="D10" i="2"/>
  <c r="X9" i="5" s="1"/>
  <c r="D9" i="2"/>
  <c r="X8" i="5" s="1"/>
  <c r="D8" i="2"/>
  <c r="X7" i="5" s="1"/>
  <c r="AA7" s="1"/>
  <c r="D7" i="2"/>
  <c r="X6" i="5" s="1"/>
  <c r="C13" i="2"/>
  <c r="C12"/>
  <c r="C11"/>
  <c r="C10"/>
  <c r="C9"/>
  <c r="C8"/>
  <c r="C7"/>
  <c r="B37" i="7" l="1"/>
  <c r="X12" i="5"/>
  <c r="AA12" s="1"/>
  <c r="AD8"/>
  <c r="AA8"/>
  <c r="AD9"/>
  <c r="AA9"/>
  <c r="AD11"/>
  <c r="AD10"/>
  <c r="AA10"/>
  <c r="AD7"/>
  <c r="AA17"/>
  <c r="AD17"/>
  <c r="AA21"/>
  <c r="AD21"/>
  <c r="AD18"/>
  <c r="AA18"/>
  <c r="AD22"/>
  <c r="AA22"/>
  <c r="AD19"/>
  <c r="AA19"/>
  <c r="AD20"/>
  <c r="AA20"/>
  <c r="U44" i="2"/>
  <c r="F27" i="7" s="1"/>
  <c r="E28"/>
  <c r="E29" s="1"/>
  <c r="E30" s="1"/>
  <c r="E31" s="1"/>
  <c r="E32" s="1"/>
  <c r="E33" s="1"/>
  <c r="E34" s="1"/>
  <c r="U20" i="2"/>
  <c r="A16"/>
  <c r="A5"/>
  <c r="C25" i="1"/>
  <c r="C1"/>
  <c r="C30"/>
  <c r="C27"/>
  <c r="C26"/>
  <c r="C28"/>
  <c r="C29"/>
  <c r="AD12" i="5" l="1"/>
  <c r="AG9"/>
  <c r="AG8"/>
  <c r="AG19"/>
  <c r="AG18"/>
  <c r="D30" i="1"/>
  <c r="D29"/>
  <c r="D27"/>
  <c r="D26"/>
  <c r="D28"/>
  <c r="D25"/>
  <c r="B18" i="2"/>
  <c r="B19" l="1"/>
  <c r="B20" l="1"/>
  <c r="B21" l="1"/>
  <c r="B22" l="1"/>
  <c r="B23" l="1"/>
  <c r="B24" l="1"/>
  <c r="C17"/>
  <c r="C9" i="1"/>
  <c r="C11"/>
  <c r="C20"/>
  <c r="C19"/>
  <c r="C22"/>
  <c r="W9" i="5" l="1"/>
  <c r="W11"/>
  <c r="D11" i="1"/>
  <c r="D9"/>
  <c r="D20"/>
  <c r="D19"/>
  <c r="D22"/>
  <c r="C21"/>
  <c r="C14"/>
  <c r="C16"/>
  <c r="C15"/>
  <c r="C8"/>
  <c r="C12"/>
  <c r="C17"/>
  <c r="C7"/>
  <c r="C13"/>
  <c r="C10"/>
  <c r="C18"/>
  <c r="C5"/>
  <c r="C23"/>
  <c r="C6"/>
  <c r="C24"/>
  <c r="W22" i="5" l="1"/>
  <c r="W12"/>
  <c r="W7"/>
  <c r="W10"/>
  <c r="W16"/>
  <c r="W17"/>
  <c r="W18"/>
  <c r="W19"/>
  <c r="W21"/>
  <c r="W20"/>
  <c r="W8"/>
  <c r="W6"/>
  <c r="Z11"/>
  <c r="AC11"/>
  <c r="AC9"/>
  <c r="Z9"/>
  <c r="D21" i="1"/>
  <c r="D13"/>
  <c r="D10"/>
  <c r="D23"/>
  <c r="D17"/>
  <c r="D8"/>
  <c r="D7"/>
  <c r="D15"/>
  <c r="D6"/>
  <c r="D12"/>
  <c r="D24"/>
  <c r="D18"/>
  <c r="D16"/>
  <c r="D14"/>
  <c r="D5"/>
  <c r="AC16" i="5" l="1"/>
  <c r="Z16"/>
  <c r="AC6"/>
  <c r="Z6"/>
  <c r="AC8"/>
  <c r="Z8"/>
  <c r="AC18"/>
  <c r="Z18"/>
  <c r="AC7"/>
  <c r="Z7"/>
  <c r="AC20"/>
  <c r="Z20"/>
  <c r="AC17"/>
  <c r="Z17"/>
  <c r="AC12"/>
  <c r="Z12"/>
  <c r="Z21"/>
  <c r="AC21"/>
  <c r="AC22"/>
  <c r="Z22"/>
  <c r="AC19"/>
  <c r="Z19"/>
  <c r="AC10"/>
  <c r="Z10"/>
  <c r="AG17" l="1"/>
  <c r="AG16"/>
  <c r="AG7"/>
  <c r="AG6"/>
  <c r="P3" i="2" l="1"/>
  <c r="P2"/>
  <c r="AH19" i="5"/>
  <c r="AH18"/>
  <c r="AH9"/>
  <c r="AH8"/>
  <c r="P5" i="2" l="1"/>
  <c r="P22"/>
  <c r="P12"/>
  <c r="P9"/>
  <c r="P10"/>
  <c r="P21"/>
  <c r="P19"/>
  <c r="P27"/>
  <c r="P8"/>
  <c r="P24"/>
  <c r="P15"/>
  <c r="P23"/>
  <c r="P14"/>
  <c r="P26"/>
  <c r="P18"/>
  <c r="P17"/>
  <c r="P13"/>
  <c r="P20"/>
  <c r="P16"/>
  <c r="P11"/>
  <c r="P25"/>
  <c r="AG25" i="5"/>
  <c r="AG24"/>
  <c r="L18" i="2" l="1"/>
  <c r="M18" s="1"/>
  <c r="A2" l="1"/>
  <c r="Q2"/>
  <c r="Q3"/>
  <c r="Q5"/>
  <c r="Q6"/>
  <c r="E7"/>
  <c r="F7"/>
  <c r="E8"/>
  <c r="F8"/>
  <c r="G8"/>
  <c r="Q8"/>
  <c r="E9"/>
  <c r="F9"/>
  <c r="G9"/>
  <c r="Q9"/>
  <c r="E10"/>
  <c r="F10"/>
  <c r="G10"/>
  <c r="Q10"/>
  <c r="E11"/>
  <c r="F11"/>
  <c r="G11"/>
  <c r="Q11"/>
  <c r="E12"/>
  <c r="F12"/>
  <c r="G12"/>
  <c r="Q12"/>
  <c r="E13"/>
  <c r="F13"/>
  <c r="G13"/>
  <c r="Q13"/>
  <c r="G14"/>
  <c r="Q14"/>
  <c r="G15"/>
  <c r="Q15"/>
  <c r="Q16"/>
  <c r="Q17"/>
  <c r="E18"/>
  <c r="F18"/>
  <c r="G18"/>
  <c r="H18"/>
  <c r="I18"/>
  <c r="J18"/>
  <c r="K18"/>
  <c r="Q18"/>
  <c r="E19"/>
  <c r="F19"/>
  <c r="G19"/>
  <c r="H19"/>
  <c r="I19"/>
  <c r="J19"/>
  <c r="K19"/>
  <c r="L19"/>
  <c r="M19"/>
  <c r="Q19"/>
  <c r="E20"/>
  <c r="F20"/>
  <c r="G20"/>
  <c r="H20"/>
  <c r="I20"/>
  <c r="J20"/>
  <c r="K20"/>
  <c r="L20"/>
  <c r="M20"/>
  <c r="Q20"/>
  <c r="E21"/>
  <c r="F21"/>
  <c r="G21"/>
  <c r="H21"/>
  <c r="I21"/>
  <c r="J21"/>
  <c r="K21"/>
  <c r="L21"/>
  <c r="M21"/>
  <c r="Q21"/>
  <c r="E22"/>
  <c r="F22"/>
  <c r="G22"/>
  <c r="H22"/>
  <c r="I22"/>
  <c r="J22"/>
  <c r="K22"/>
  <c r="L22"/>
  <c r="M22"/>
  <c r="Q22"/>
  <c r="E23"/>
  <c r="F23"/>
  <c r="G23"/>
  <c r="H23"/>
  <c r="I23"/>
  <c r="J23"/>
  <c r="K23"/>
  <c r="L23"/>
  <c r="M23"/>
  <c r="Q23"/>
  <c r="E24"/>
  <c r="F24"/>
  <c r="G24"/>
  <c r="H24"/>
  <c r="I24"/>
  <c r="J24"/>
  <c r="K24"/>
  <c r="L24"/>
  <c r="M24"/>
  <c r="Q24"/>
  <c r="L25"/>
  <c r="Q25"/>
  <c r="L26"/>
  <c r="Q26"/>
  <c r="M27"/>
  <c r="Q27"/>
  <c r="B2" i="9"/>
  <c r="B3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E2" i="1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</calcChain>
</file>

<file path=xl/sharedStrings.xml><?xml version="1.0" encoding="utf-8"?>
<sst xmlns="http://schemas.openxmlformats.org/spreadsheetml/2006/main" count="190" uniqueCount="139">
  <si>
    <t>North</t>
  </si>
  <si>
    <t>South</t>
  </si>
  <si>
    <t>East</t>
  </si>
  <si>
    <t>West</t>
  </si>
  <si>
    <t>Country</t>
  </si>
  <si>
    <t>Desired life table date</t>
  </si>
  <si>
    <t>x</t>
  </si>
  <si>
    <t>Time location</t>
  </si>
  <si>
    <t>Orphanhood</t>
  </si>
  <si>
    <t>n</t>
  </si>
  <si>
    <t>Line fitting points</t>
  </si>
  <si>
    <t>Graph points</t>
  </si>
  <si>
    <t>Point</t>
  </si>
  <si>
    <t>Sex</t>
  </si>
  <si>
    <t>Male</t>
  </si>
  <si>
    <t>Female</t>
  </si>
  <si>
    <t>Combined</t>
  </si>
  <si>
    <t>Princeton North</t>
  </si>
  <si>
    <t>Princeton South</t>
  </si>
  <si>
    <t>Princeton East</t>
  </si>
  <si>
    <t>Princeton West</t>
  </si>
  <si>
    <t>UN General</t>
  </si>
  <si>
    <t>Males</t>
  </si>
  <si>
    <t>Females</t>
  </si>
  <si>
    <t>Notes</t>
  </si>
  <si>
    <t>Source:</t>
  </si>
  <si>
    <r>
      <t>Underlying life tables by sex for ages 0, 1, 5, 10 … 130 with an e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=60 sourced from </t>
    </r>
  </si>
  <si>
    <t>http://esa.un.org/wpp/Model-Life-Tables/data/MLT_UN2010-130_1y.xls</t>
  </si>
  <si>
    <t>(18 June 2010 update)</t>
  </si>
  <si>
    <r>
      <t xml:space="preserve">Life table </t>
    </r>
    <r>
      <rPr>
        <b/>
        <i/>
        <sz val="11"/>
        <color theme="1"/>
        <rFont val="Arial Narrow"/>
        <family val="2"/>
      </rPr>
      <t>l</t>
    </r>
    <r>
      <rPr>
        <b/>
        <i/>
        <vertAlign val="subscript"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 xml:space="preserve"> for ages 2, 3, 4:</t>
    </r>
  </si>
  <si>
    <t xml:space="preserve">  Coale-Demeny life tables: </t>
  </si>
  <si>
    <t>Derived from the proportionality factors published in Coale, Demeny and Vaugan (1983: 21).</t>
  </si>
  <si>
    <t xml:space="preserve">  UN life tables: </t>
  </si>
  <si>
    <t>Proportionality factors set to maintain proportional distribution of mortality between ages 1</t>
  </si>
  <si>
    <t>and 5 as in the original published life tables (United Nations 1982):</t>
  </si>
  <si>
    <t xml:space="preserve">http://www.un.org/esa/population/techcoop/DemMod/model_lifetabs/Model_LT_Annex2.pdf </t>
  </si>
  <si>
    <t>Production of joint-sex life tables:</t>
  </si>
  <si>
    <r>
      <t>Weighted average of male and female life tables with an e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=60, assuming a sex ratio </t>
    </r>
  </si>
  <si>
    <t>at birth of 105.</t>
  </si>
  <si>
    <t>Princeton</t>
  </si>
  <si>
    <t>Mortality pattern</t>
  </si>
  <si>
    <t>Model family</t>
  </si>
  <si>
    <t>UN</t>
  </si>
  <si>
    <t>Model pattern</t>
  </si>
  <si>
    <t>South Asian</t>
  </si>
  <si>
    <t>General</t>
  </si>
  <si>
    <t>Valid combinations</t>
  </si>
  <si>
    <t>Child</t>
  </si>
  <si>
    <t>Adult</t>
  </si>
  <si>
    <t>Age</t>
  </si>
  <si>
    <t>1-parameter</t>
  </si>
  <si>
    <t>2-parameter</t>
  </si>
  <si>
    <t>To draw vertical line</t>
  </si>
  <si>
    <t>Source of data for adults</t>
  </si>
  <si>
    <t>Siblings</t>
  </si>
  <si>
    <t>Index</t>
  </si>
  <si>
    <t>q(x)</t>
  </si>
  <si>
    <t>Date</t>
  </si>
  <si>
    <t>RMSE</t>
  </si>
  <si>
    <r>
      <t xml:space="preserve">logit </t>
    </r>
    <r>
      <rPr>
        <b/>
        <i/>
        <sz val="11"/>
        <color theme="1"/>
        <rFont val="Arial Narrow"/>
        <family val="2"/>
      </rPr>
      <t>l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 xml:space="preserve">) for life tables with an </t>
    </r>
    <r>
      <rPr>
        <b/>
        <i/>
        <sz val="11"/>
        <color theme="1"/>
        <rFont val="Arial Narrow"/>
        <family val="2"/>
      </rPr>
      <t>e</t>
    </r>
    <r>
      <rPr>
        <b/>
        <vertAlign val="subscript"/>
        <sz val="11"/>
        <color theme="1"/>
        <rFont val="Arial Narrow"/>
        <family val="2"/>
      </rPr>
      <t>0</t>
    </r>
    <r>
      <rPr>
        <b/>
        <sz val="11"/>
        <color theme="1"/>
        <rFont val="Arial Narrow"/>
        <family val="2"/>
      </rPr>
      <t>=60</t>
    </r>
  </si>
  <si>
    <t>Base age for adults</t>
  </si>
  <si>
    <t>Residuals</t>
  </si>
  <si>
    <t>Slope</t>
  </si>
  <si>
    <t>Intercept</t>
  </si>
  <si>
    <t>Min</t>
  </si>
  <si>
    <t>Max</t>
  </si>
  <si>
    <t xml:space="preserve"> 1=Selected; Blank=Unselected</t>
  </si>
  <si>
    <t>Adults - selected points</t>
  </si>
  <si>
    <t>Children - selected points</t>
  </si>
  <si>
    <t>Reset fitting procedure</t>
  </si>
  <si>
    <t>Parameter</t>
  </si>
  <si>
    <t>FITTED LIFE TABLE</t>
  </si>
  <si>
    <t>Value</t>
  </si>
  <si>
    <t>Latin American</t>
  </si>
  <si>
    <t>Chilean</t>
  </si>
  <si>
    <t>Far Eastern</t>
  </si>
  <si>
    <t>UN Latin American</t>
  </si>
  <si>
    <t>UN Chilean</t>
  </si>
  <si>
    <t>UN South Asian</t>
  </si>
  <si>
    <t>UN Far Eastern</t>
  </si>
  <si>
    <t xml:space="preserve">This method is described at: </t>
  </si>
  <si>
    <t>http://demographicestimation.iussp.org/content/combining-indirect-estimates-child-and-adult-mortality-produce-life-table</t>
  </si>
  <si>
    <t>Instructions</t>
  </si>
  <si>
    <t>Select an appropriate family of model life tables to be used as a standard</t>
  </si>
  <si>
    <t>Adult mortality method</t>
  </si>
  <si>
    <t>Circular calculations</t>
  </si>
  <si>
    <t>The need to reset the fit if the family is changed</t>
  </si>
  <si>
    <r>
      <t>Age (</t>
    </r>
    <r>
      <rPr>
        <b/>
        <i/>
        <sz val="11"/>
        <color rgb="FF9C6500"/>
        <rFont val="Arial"/>
        <family val="2"/>
      </rPr>
      <t>x</t>
    </r>
    <r>
      <rPr>
        <b/>
        <sz val="11"/>
        <color rgb="FF9C6500"/>
        <rFont val="Arial"/>
        <family val="2"/>
      </rPr>
      <t>)</t>
    </r>
  </si>
  <si>
    <r>
      <rPr>
        <b/>
        <i/>
        <sz val="11"/>
        <color rgb="FF9C6500"/>
        <rFont val="Arial"/>
        <family val="2"/>
      </rPr>
      <t>l</t>
    </r>
    <r>
      <rPr>
        <b/>
        <sz val="11"/>
        <color rgb="FF9C6500"/>
        <rFont val="Arial"/>
        <family val="2"/>
      </rPr>
      <t>(</t>
    </r>
    <r>
      <rPr>
        <b/>
        <i/>
        <sz val="11"/>
        <color rgb="FF9C6500"/>
        <rFont val="Arial"/>
        <family val="2"/>
      </rPr>
      <t>x</t>
    </r>
    <r>
      <rPr>
        <b/>
        <sz val="11"/>
        <color rgb="FF9C6500"/>
        <rFont val="Arial"/>
        <family val="2"/>
      </rPr>
      <t>)</t>
    </r>
  </si>
  <si>
    <t>A further description of the construction of these standard logits is provided at</t>
  </si>
  <si>
    <t>http://demographicestimation.iussp.org/content/relational-standards-used</t>
  </si>
  <si>
    <r>
      <t xml:space="preserve"> * Go to File 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Arial"/>
        <family val="2"/>
      </rPr>
      <t xml:space="preserve"> Options 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Arial"/>
        <family val="2"/>
      </rPr>
      <t xml:space="preserve"> Formulas</t>
    </r>
  </si>
  <si>
    <t xml:space="preserve"> * Ensure that "Enable Iterative Calculation" is checked </t>
  </si>
  <si>
    <t>It is not recommended to exceed this number of iterations, or to specify a lower tolerance, as convergence may prove impossible. The values recommended are amply sufficient for most sensible applications of this spreadsheet.</t>
  </si>
  <si>
    <r>
      <t>To do so, change the 'Recalculate' cell (</t>
    </r>
    <r>
      <rPr>
        <b/>
        <sz val="12"/>
        <color theme="1"/>
        <rFont val="Arial"/>
        <family val="2"/>
      </rPr>
      <t>B3</t>
    </r>
    <r>
      <rPr>
        <sz val="12"/>
        <color theme="1"/>
        <rFont val="Arial"/>
        <family val="2"/>
      </rPr>
      <t>) of the</t>
    </r>
    <r>
      <rPr>
        <b/>
        <i/>
        <sz val="12"/>
        <color theme="1"/>
        <rFont val="Arial"/>
        <family val="2"/>
      </rPr>
      <t xml:space="preserve"> Method</t>
    </r>
    <r>
      <rPr>
        <sz val="12"/>
        <color theme="1"/>
        <rFont val="Arial"/>
        <family val="2"/>
      </rPr>
      <t xml:space="preserve"> sheet from TRUE to FALSE and back to TRUE.</t>
    </r>
  </si>
  <si>
    <t>If the FAMILY of the model life table system is changed (i.e. from PRINCETON to UN, or vice versa), it is</t>
  </si>
  <si>
    <t xml:space="preserve"> * Set the maximum iterations to a suitable large number (e.g. 1000)</t>
  </si>
  <si>
    <t>necessary to reset the calculation routine. Otherwise errors will arise.</t>
  </si>
  <si>
    <t>The spreadsheet presented here uses an iterative approach to determine the best-fitting life table for the chosen estimates. However, circular calculations are not routinely allowed in Excel. To enable them for this spreadsheet,</t>
  </si>
  <si>
    <t xml:space="preserve"> * Set the tolerance (the difference between the results from successive iterations at which the iterative process</t>
  </si>
  <si>
    <t xml:space="preserve">     is allowed to terminate) to a suitably small number.</t>
  </si>
  <si>
    <r>
      <t xml:space="preserve">This spreedsheet presents a method of combining indirect estimates of child and adult mortality to produce a life table applicable at a defined point in time. The method relies on an iterative solving technique across a number of values. Accordingly, </t>
    </r>
    <r>
      <rPr>
        <i/>
        <sz val="12"/>
        <rFont val="Arial"/>
        <family val="2"/>
      </rPr>
      <t xml:space="preserve">Solver </t>
    </r>
    <r>
      <rPr>
        <sz val="12"/>
        <rFont val="Arial"/>
        <family val="2"/>
      </rPr>
      <t xml:space="preserve">is not suitable for use. Instead, we make use of circular calculations in Excel. A brief explanation of how to enable them in this workbook is given in the </t>
    </r>
    <r>
      <rPr>
        <b/>
        <i/>
        <sz val="12"/>
        <rFont val="Arial"/>
        <family val="2"/>
      </rPr>
      <t>Enabling circular calculations</t>
    </r>
    <r>
      <rPr>
        <sz val="12"/>
        <rFont val="Arial"/>
        <family val="2"/>
      </rPr>
      <t xml:space="preserve"> sheet.</t>
    </r>
  </si>
  <si>
    <t>Dominican Rep.</t>
  </si>
  <si>
    <r>
      <t xml:space="preserve">The results are presented in the </t>
    </r>
    <r>
      <rPr>
        <b/>
        <i/>
        <sz val="12"/>
        <color theme="1"/>
        <rFont val="Arial"/>
        <family val="2"/>
      </rPr>
      <t>Results</t>
    </r>
    <r>
      <rPr>
        <sz val="12"/>
        <color theme="1"/>
        <rFont val="Arial"/>
        <family val="2"/>
      </rPr>
      <t xml:space="preserve"> sheet.</t>
    </r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</si>
  <si>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>)</t>
    </r>
  </si>
  <si>
    <r>
      <t xml:space="preserve">Fitted </t>
    </r>
    <r>
      <rPr>
        <b/>
        <i/>
        <sz val="10"/>
        <color theme="1"/>
        <rFont val="Arial"/>
        <family val="2"/>
      </rPr>
      <t>β</t>
    </r>
  </si>
  <si>
    <r>
      <rPr>
        <b/>
        <i/>
        <sz val="10"/>
        <color theme="1"/>
        <rFont val="Arial"/>
        <family val="2"/>
      </rPr>
      <t>α</t>
    </r>
    <r>
      <rPr>
        <b/>
        <sz val="10"/>
        <color theme="1"/>
        <rFont val="Arial"/>
        <family val="2"/>
      </rPr>
      <t xml:space="preserve"> - child</t>
    </r>
  </si>
  <si>
    <r>
      <rPr>
        <b/>
        <i/>
        <sz val="10"/>
        <color theme="1"/>
        <rFont val="Arial"/>
        <family val="2"/>
      </rPr>
      <t>α</t>
    </r>
    <r>
      <rPr>
        <b/>
        <sz val="10"/>
        <color theme="1"/>
        <rFont val="Arial"/>
        <family val="2"/>
      </rPr>
      <t xml:space="preserve"> - adult</t>
    </r>
  </si>
  <si>
    <r>
      <rPr>
        <b/>
        <i/>
        <sz val="10"/>
        <color theme="1"/>
        <rFont val="Arial"/>
        <family val="2"/>
      </rPr>
      <t>Y</t>
    </r>
    <r>
      <rPr>
        <b/>
        <sz val="10"/>
        <color theme="1"/>
        <rFont val="Arial"/>
        <family val="2"/>
      </rPr>
      <t>(15)</t>
    </r>
  </si>
  <si>
    <r>
      <rPr>
        <b/>
        <i/>
        <sz val="10"/>
        <color theme="1"/>
        <rFont val="Arial"/>
        <family val="2"/>
      </rPr>
      <t>l</t>
    </r>
    <r>
      <rPr>
        <b/>
        <sz val="10"/>
        <color theme="1"/>
        <rFont val="Arial"/>
        <family val="2"/>
      </rPr>
      <t>(15)</t>
    </r>
  </si>
  <si>
    <r>
      <rPr>
        <b/>
        <vertAlign val="subscript"/>
        <sz val="10"/>
        <color theme="1"/>
        <rFont val="Arial"/>
        <family val="2"/>
      </rPr>
      <t>45</t>
    </r>
    <r>
      <rPr>
        <b/>
        <i/>
        <sz val="10"/>
        <color theme="1"/>
        <rFont val="Arial"/>
        <family val="2"/>
      </rPr>
      <t>p</t>
    </r>
    <r>
      <rPr>
        <b/>
        <vertAlign val="subscript"/>
        <sz val="10"/>
        <color theme="1"/>
        <rFont val="Arial"/>
        <family val="2"/>
      </rPr>
      <t>15</t>
    </r>
  </si>
  <si>
    <r>
      <rPr>
        <b/>
        <i/>
        <sz val="10"/>
        <color theme="1"/>
        <rFont val="Arial"/>
        <family val="2"/>
      </rPr>
      <t>Y</t>
    </r>
    <r>
      <rPr>
        <b/>
        <sz val="10"/>
        <color theme="1"/>
        <rFont val="Arial"/>
        <family val="2"/>
      </rPr>
      <t>(60)</t>
    </r>
  </si>
  <si>
    <r>
      <t xml:space="preserve">Revised </t>
    </r>
    <r>
      <rPr>
        <b/>
        <i/>
        <sz val="10"/>
        <color theme="1"/>
        <rFont val="Arial"/>
        <family val="2"/>
      </rPr>
      <t>β</t>
    </r>
  </si>
  <si>
    <r>
      <t>Beta (</t>
    </r>
    <r>
      <rPr>
        <i/>
        <sz val="11"/>
        <color theme="1"/>
        <rFont val="Arial"/>
        <family val="2"/>
      </rPr>
      <t>β</t>
    </r>
    <r>
      <rPr>
        <sz val="11"/>
        <color theme="1"/>
        <rFont val="Arial Narrow"/>
        <family val="2"/>
      </rPr>
      <t>)</t>
    </r>
  </si>
  <si>
    <r>
      <t>Alpha (</t>
    </r>
    <r>
      <rPr>
        <i/>
        <sz val="11"/>
        <color theme="1"/>
        <rFont val="Arial"/>
        <family val="2"/>
      </rPr>
      <t>α</t>
    </r>
    <r>
      <rPr>
        <sz val="11"/>
        <color theme="1"/>
        <rFont val="Arial Narrow"/>
        <family val="2"/>
      </rPr>
      <t>)</t>
    </r>
  </si>
  <si>
    <r>
      <rPr>
        <b/>
        <i/>
        <sz val="11"/>
        <color theme="1"/>
        <rFont val="Arial"/>
        <family val="2"/>
      </rPr>
      <t>β</t>
    </r>
    <r>
      <rPr>
        <b/>
        <sz val="11"/>
        <color theme="1"/>
        <rFont val="Arial Narrow"/>
        <family val="2"/>
      </rPr>
      <t xml:space="preserve"> = 1</t>
    </r>
  </si>
  <si>
    <r>
      <rPr>
        <b/>
        <i/>
        <sz val="11"/>
        <color theme="1"/>
        <rFont val="Arial Narrow"/>
        <family val="2"/>
      </rPr>
      <t>l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>)</t>
    </r>
  </si>
  <si>
    <r>
      <t xml:space="preserve">logit </t>
    </r>
    <r>
      <rPr>
        <b/>
        <i/>
        <sz val="11"/>
        <color theme="1"/>
        <rFont val="Arial Narrow"/>
        <family val="2"/>
      </rPr>
      <t>l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>)</t>
    </r>
  </si>
  <si>
    <t>α's</t>
  </si>
  <si>
    <t>α &amp; β</t>
  </si>
  <si>
    <t>Data points</t>
  </si>
  <si>
    <r>
      <t xml:space="preserve">Fitted </t>
    </r>
    <r>
      <rPr>
        <b/>
        <i/>
        <sz val="11"/>
        <color theme="1"/>
        <rFont val="Arial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 plots (with </t>
    </r>
    <r>
      <rPr>
        <b/>
        <i/>
        <sz val="11"/>
        <color theme="1"/>
        <rFont val="Arial"/>
        <family val="2"/>
      </rPr>
      <t>β</t>
    </r>
    <r>
      <rPr>
        <b/>
        <sz val="11"/>
        <color theme="1"/>
        <rFont val="Calibri"/>
        <family val="2"/>
        <scheme val="minor"/>
      </rPr>
      <t xml:space="preserve"> set by iteration)</t>
    </r>
  </si>
  <si>
    <r>
      <rPr>
        <b/>
        <i/>
        <sz val="11"/>
        <color theme="1"/>
        <rFont val="Arial Narrow"/>
        <family val="2"/>
      </rPr>
      <t>β</t>
    </r>
    <r>
      <rPr>
        <b/>
        <sz val="11"/>
        <color theme="1"/>
        <rFont val="Arial Narrow"/>
        <family val="2"/>
      </rPr>
      <t xml:space="preserve"> = 1</t>
    </r>
  </si>
  <si>
    <r>
      <t xml:space="preserve">Children </t>
    </r>
    <r>
      <rPr>
        <b/>
        <i/>
        <sz val="11"/>
        <color theme="1"/>
        <rFont val="Arial"/>
        <family val="2"/>
      </rPr>
      <t>α</t>
    </r>
    <r>
      <rPr>
        <b/>
        <sz val="11"/>
        <color theme="1"/>
        <rFont val="Arial Narrow"/>
        <family val="2"/>
      </rPr>
      <t>'s - ALL</t>
    </r>
  </si>
  <si>
    <t>Adults α's - ALL</t>
  </si>
  <si>
    <t>Model life table system</t>
  </si>
  <si>
    <t>Combining indirect estimates of child and adult mortality</t>
  </si>
  <si>
    <t xml:space="preserve"> to produce a life table</t>
  </si>
  <si>
    <t xml:space="preserve">Select the sex of the population for which the life table is to be produced, </t>
  </si>
  <si>
    <t>based on the sex of the population used to generate the input data</t>
  </si>
  <si>
    <t>Input estimates of child mortality, and their time locations, in the cells to the right</t>
  </si>
  <si>
    <t>Describe the method used to estimate adult mortality in the box to the right</t>
  </si>
  <si>
    <t>Input estimates of adult mortality, and their time locations, in the cells to the right</t>
  </si>
  <si>
    <t>Enter a name for the population that the life table refers to in the box to the right</t>
  </si>
  <si>
    <r>
      <t xml:space="preserve">(See the </t>
    </r>
    <r>
      <rPr>
        <b/>
        <i/>
        <sz val="10"/>
        <color theme="1"/>
        <rFont val="Arial"/>
        <family val="2"/>
      </rPr>
      <t xml:space="preserve">Enabling circular calculations </t>
    </r>
    <r>
      <rPr>
        <sz val="10"/>
        <color theme="1"/>
        <rFont val="Arial"/>
        <family val="2"/>
      </rPr>
      <t>sheet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for an explanation)</t>
    </r>
  </si>
  <si>
    <t>If you switch between the two model life table SYSTEMS, you will be reminded to reset the calculations</t>
  </si>
  <si>
    <r>
      <t xml:space="preserve">Examine the data on the </t>
    </r>
    <r>
      <rPr>
        <b/>
        <i/>
        <sz val="12"/>
        <rFont val="Arial"/>
        <family val="2"/>
      </rPr>
      <t>Alpha plots</t>
    </r>
    <r>
      <rPr>
        <sz val="12"/>
        <rFont val="Arial"/>
        <family val="2"/>
      </rPr>
      <t xml:space="preserve"> sheet. Eliminate those data points that appear to be unreliable (i.e. they do not conform to the long-term trend in the alphas for children and adults). Points can be excluded in any order, but the more points excluded, the less robust  will be the final life table</t>
    </r>
  </si>
  <si>
    <t>Enter the date to which the derived life table should apply</t>
  </si>
  <si>
    <t>Iterative calculation</t>
  </si>
</sst>
</file>

<file path=xl/styles.xml><?xml version="1.0" encoding="utf-8"?>
<styleSheet xmlns="http://schemas.openxmlformats.org/spreadsheetml/2006/main">
  <numFmts count="6">
    <numFmt numFmtId="164" formatCode="0.00000"/>
    <numFmt numFmtId="165" formatCode="0.0000"/>
    <numFmt numFmtId="166" formatCode="0.000"/>
    <numFmt numFmtId="167" formatCode="0_)"/>
    <numFmt numFmtId="168" formatCode="0.0000_)"/>
    <numFmt numFmtId="169" formatCode="0.000000"/>
  </numFmts>
  <fonts count="4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Arial Narrow"/>
      <family val="2"/>
    </font>
    <font>
      <b/>
      <vertAlign val="subscript"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i/>
      <vertAlign val="subscript"/>
      <sz val="11"/>
      <color theme="1"/>
      <name val="Arial Narrow"/>
      <family val="2"/>
    </font>
    <font>
      <sz val="10"/>
      <name val="Arial"/>
      <family val="2"/>
    </font>
    <font>
      <sz val="12"/>
      <name val="Helv"/>
    </font>
    <font>
      <sz val="10"/>
      <color rgb="FF9C6500"/>
      <name val="Arial"/>
      <family val="2"/>
    </font>
    <font>
      <sz val="10"/>
      <color rgb="FF0061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color rgb="FF9C6500"/>
      <name val="Arial"/>
      <family val="2"/>
    </font>
    <font>
      <sz val="11"/>
      <color rgb="FF9C6500"/>
      <name val="Arial Narrow"/>
      <family val="2"/>
    </font>
    <font>
      <b/>
      <sz val="11"/>
      <color rgb="FF9C6500"/>
      <name val="Arial Narrow"/>
      <family val="2"/>
    </font>
    <font>
      <b/>
      <sz val="11"/>
      <name val="Arial Narrow"/>
      <family val="2"/>
    </font>
    <font>
      <b/>
      <sz val="10"/>
      <color rgb="FF9C6500"/>
      <name val="Arial Narrow"/>
      <family val="2"/>
    </font>
    <font>
      <b/>
      <sz val="12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6100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1"/>
      <color rgb="FF9C6500"/>
      <name val="Arial"/>
      <family val="2"/>
    </font>
    <font>
      <sz val="12"/>
      <color theme="1"/>
      <name val="Symbol"/>
      <family val="1"/>
      <charset val="2"/>
    </font>
    <font>
      <i/>
      <sz val="12"/>
      <name val="Arial"/>
      <family val="2"/>
    </font>
    <font>
      <b/>
      <i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167" fontId="16" fillId="0" borderId="0"/>
    <xf numFmtId="0" fontId="2" fillId="0" borderId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</cellStyleXfs>
  <cellXfs count="22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6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0" xfId="0" applyFont="1"/>
    <xf numFmtId="164" fontId="9" fillId="0" borderId="7" xfId="0" applyNumberFormat="1" applyFont="1" applyBorder="1"/>
    <xf numFmtId="164" fontId="9" fillId="0" borderId="0" xfId="0" applyNumberFormat="1" applyFont="1" applyBorder="1"/>
    <xf numFmtId="164" fontId="9" fillId="0" borderId="8" xfId="0" applyNumberFormat="1" applyFont="1" applyBorder="1"/>
    <xf numFmtId="164" fontId="9" fillId="0" borderId="0" xfId="0" applyNumberFormat="1" applyFont="1"/>
    <xf numFmtId="164" fontId="9" fillId="0" borderId="5" xfId="0" applyNumberFormat="1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0" fontId="10" fillId="0" borderId="4" xfId="0" applyFont="1" applyBorder="1"/>
    <xf numFmtId="0" fontId="10" fillId="0" borderId="0" xfId="0" applyFont="1"/>
    <xf numFmtId="167" fontId="15" fillId="4" borderId="0" xfId="5" applyFont="1" applyFill="1" applyAlignment="1" applyProtection="1"/>
    <xf numFmtId="167" fontId="15" fillId="4" borderId="0" xfId="5" applyFont="1" applyFill="1" applyAlignment="1" applyProtection="1">
      <alignment horizontal="right"/>
    </xf>
    <xf numFmtId="165" fontId="9" fillId="0" borderId="0" xfId="0" applyNumberFormat="1" applyFont="1"/>
    <xf numFmtId="2" fontId="9" fillId="0" borderId="0" xfId="0" applyNumberFormat="1" applyFont="1"/>
    <xf numFmtId="0" fontId="19" fillId="0" borderId="0" xfId="0" applyFont="1"/>
    <xf numFmtId="0" fontId="3" fillId="0" borderId="0" xfId="0" applyFont="1"/>
    <xf numFmtId="168" fontId="15" fillId="5" borderId="0" xfId="0" applyNumberFormat="1" applyFont="1" applyFill="1" applyProtection="1"/>
    <xf numFmtId="165" fontId="3" fillId="5" borderId="0" xfId="0" applyNumberFormat="1" applyFont="1" applyFill="1"/>
    <xf numFmtId="165" fontId="9" fillId="5" borderId="0" xfId="0" applyNumberFormat="1" applyFont="1" applyFill="1"/>
    <xf numFmtId="0" fontId="9" fillId="5" borderId="0" xfId="0" applyFont="1" applyFill="1"/>
    <xf numFmtId="169" fontId="9" fillId="5" borderId="0" xfId="0" applyNumberFormat="1" applyFont="1" applyFill="1"/>
    <xf numFmtId="0" fontId="6" fillId="0" borderId="0" xfId="0" applyFont="1" applyBorder="1"/>
    <xf numFmtId="165" fontId="3" fillId="5" borderId="4" xfId="0" applyNumberFormat="1" applyFont="1" applyFill="1" applyBorder="1"/>
    <xf numFmtId="168" fontId="15" fillId="5" borderId="4" xfId="0" applyNumberFormat="1" applyFont="1" applyFill="1" applyBorder="1" applyProtection="1"/>
    <xf numFmtId="165" fontId="9" fillId="5" borderId="4" xfId="0" applyNumberFormat="1" applyFont="1" applyFill="1" applyBorder="1"/>
    <xf numFmtId="169" fontId="9" fillId="5" borderId="4" xfId="0" applyNumberFormat="1" applyFont="1" applyFill="1" applyBorder="1"/>
    <xf numFmtId="165" fontId="17" fillId="3" borderId="0" xfId="2" applyNumberFormat="1" applyFont="1" applyBorder="1"/>
    <xf numFmtId="165" fontId="17" fillId="3" borderId="8" xfId="2" applyNumberFormat="1" applyFont="1" applyBorder="1"/>
    <xf numFmtId="165" fontId="17" fillId="3" borderId="4" xfId="2" applyNumberFormat="1" applyFont="1" applyBorder="1"/>
    <xf numFmtId="165" fontId="17" fillId="3" borderId="6" xfId="2" applyNumberFormat="1" applyFont="1" applyBorder="1"/>
    <xf numFmtId="0" fontId="15" fillId="0" borderId="0" xfId="4" applyFont="1"/>
    <xf numFmtId="0" fontId="15" fillId="0" borderId="0" xfId="4" applyFont="1" applyAlignment="1">
      <alignment wrapText="1"/>
    </xf>
    <xf numFmtId="0" fontId="21" fillId="0" borderId="0" xfId="4" applyFont="1" applyAlignment="1">
      <alignment horizontal="right" vertical="top"/>
    </xf>
    <xf numFmtId="0" fontId="23" fillId="0" borderId="0" xfId="0" applyFont="1"/>
    <xf numFmtId="0" fontId="24" fillId="0" borderId="4" xfId="0" applyFont="1" applyBorder="1" applyAlignment="1"/>
    <xf numFmtId="0" fontId="25" fillId="0" borderId="0" xfId="0" applyFont="1"/>
    <xf numFmtId="0" fontId="29" fillId="3" borderId="7" xfId="2" applyFont="1" applyBorder="1"/>
    <xf numFmtId="0" fontId="29" fillId="3" borderId="5" xfId="2" applyFont="1" applyBorder="1"/>
    <xf numFmtId="1" fontId="30" fillId="0" borderId="0" xfId="1" applyNumberFormat="1" applyFont="1" applyFill="1" applyBorder="1" applyAlignment="1" applyProtection="1">
      <alignment horizontal="right"/>
    </xf>
    <xf numFmtId="1" fontId="30" fillId="0" borderId="4" xfId="1" applyNumberFormat="1" applyFont="1" applyFill="1" applyBorder="1" applyAlignment="1" applyProtection="1">
      <alignment horizontal="right"/>
    </xf>
    <xf numFmtId="0" fontId="8" fillId="5" borderId="2" xfId="0" applyFont="1" applyFill="1" applyBorder="1" applyAlignment="1">
      <alignment horizontal="right"/>
    </xf>
    <xf numFmtId="0" fontId="31" fillId="3" borderId="7" xfId="2" applyFont="1" applyBorder="1"/>
    <xf numFmtId="0" fontId="31" fillId="3" borderId="5" xfId="2" applyFont="1" applyBorder="1"/>
    <xf numFmtId="167" fontId="26" fillId="4" borderId="0" xfId="5" applyFont="1" applyFill="1" applyAlignment="1" applyProtection="1"/>
    <xf numFmtId="167" fontId="26" fillId="4" borderId="9" xfId="5" applyFont="1" applyFill="1" applyBorder="1" applyAlignment="1" applyProtection="1"/>
    <xf numFmtId="167" fontId="26" fillId="4" borderId="10" xfId="5" applyFont="1" applyFill="1" applyBorder="1" applyAlignment="1" applyProtection="1"/>
    <xf numFmtId="167" fontId="26" fillId="4" borderId="11" xfId="5" applyFont="1" applyFill="1" applyBorder="1" applyAlignment="1" applyProtection="1"/>
    <xf numFmtId="167" fontId="30" fillId="4" borderId="0" xfId="5" applyFont="1" applyFill="1" applyAlignment="1" applyProtection="1"/>
    <xf numFmtId="167" fontId="30" fillId="4" borderId="9" xfId="5" applyFont="1" applyFill="1" applyBorder="1" applyAlignment="1" applyProtection="1"/>
    <xf numFmtId="167" fontId="30" fillId="4" borderId="10" xfId="5" applyFont="1" applyFill="1" applyBorder="1" applyAlignment="1" applyProtection="1"/>
    <xf numFmtId="167" fontId="30" fillId="4" borderId="11" xfId="5" applyFont="1" applyFill="1" applyBorder="1" applyAlignment="1" applyProtection="1"/>
    <xf numFmtId="167" fontId="30" fillId="4" borderId="9" xfId="5" applyFont="1" applyFill="1" applyBorder="1" applyAlignment="1" applyProtection="1">
      <alignment horizontal="left"/>
    </xf>
    <xf numFmtId="167" fontId="30" fillId="4" borderId="10" xfId="5" applyFont="1" applyFill="1" applyBorder="1" applyAlignment="1" applyProtection="1">
      <alignment horizontal="left"/>
    </xf>
    <xf numFmtId="0" fontId="6" fillId="5" borderId="7" xfId="0" applyFont="1" applyFill="1" applyBorder="1"/>
    <xf numFmtId="0" fontId="6" fillId="5" borderId="0" xfId="0" applyFont="1" applyFill="1" applyBorder="1"/>
    <xf numFmtId="0" fontId="6" fillId="5" borderId="5" xfId="0" applyFont="1" applyFill="1" applyBorder="1"/>
    <xf numFmtId="0" fontId="6" fillId="5" borderId="4" xfId="0" applyFont="1" applyFill="1" applyBorder="1"/>
    <xf numFmtId="165" fontId="3" fillId="5" borderId="0" xfId="0" applyNumberFormat="1" applyFont="1" applyFill="1" applyBorder="1"/>
    <xf numFmtId="165" fontId="3" fillId="5" borderId="8" xfId="0" applyNumberFormat="1" applyFont="1" applyFill="1" applyBorder="1"/>
    <xf numFmtId="165" fontId="3" fillId="5" borderId="6" xfId="0" applyNumberFormat="1" applyFont="1" applyFill="1" applyBorder="1"/>
    <xf numFmtId="0" fontId="32" fillId="0" borderId="0" xfId="0" applyFont="1"/>
    <xf numFmtId="0" fontId="21" fillId="0" borderId="0" xfId="4" applyFont="1" applyAlignment="1">
      <alignment horizontal="left" vertical="top" wrapText="1"/>
    </xf>
    <xf numFmtId="0" fontId="6" fillId="5" borderId="7" xfId="0" applyFont="1" applyFill="1" applyBorder="1" applyAlignment="1">
      <alignment horizontal="center"/>
    </xf>
    <xf numFmtId="0" fontId="18" fillId="2" borderId="8" xfId="1" applyFont="1" applyBorder="1" applyAlignment="1" applyProtection="1">
      <alignment horizontal="center"/>
      <protection locked="0"/>
    </xf>
    <xf numFmtId="0" fontId="18" fillId="2" borderId="6" xfId="1" applyFont="1" applyBorder="1" applyAlignment="1" applyProtection="1">
      <alignment horizontal="center"/>
      <protection locked="0"/>
    </xf>
    <xf numFmtId="0" fontId="21" fillId="0" borderId="0" xfId="4" applyFont="1" applyAlignment="1">
      <alignment horizontal="left" vertical="top"/>
    </xf>
    <xf numFmtId="2" fontId="3" fillId="5" borderId="0" xfId="0" applyNumberFormat="1" applyFont="1" applyFill="1"/>
    <xf numFmtId="2" fontId="3" fillId="5" borderId="4" xfId="0" applyNumberFormat="1" applyFont="1" applyFill="1" applyBorder="1"/>
    <xf numFmtId="0" fontId="18" fillId="2" borderId="14" xfId="1" applyFont="1" applyBorder="1" applyAlignment="1" applyProtection="1">
      <alignment horizontal="center"/>
      <protection locked="0"/>
    </xf>
    <xf numFmtId="0" fontId="18" fillId="2" borderId="15" xfId="1" applyFont="1" applyBorder="1" applyAlignment="1" applyProtection="1">
      <alignment horizontal="center"/>
      <protection locked="0"/>
    </xf>
    <xf numFmtId="0" fontId="18" fillId="2" borderId="7" xfId="1" applyFont="1" applyBorder="1" applyAlignment="1" applyProtection="1">
      <alignment horizontal="center"/>
      <protection locked="0"/>
    </xf>
    <xf numFmtId="0" fontId="18" fillId="2" borderId="5" xfId="1" applyFont="1" applyBorder="1" applyAlignment="1" applyProtection="1">
      <alignment horizontal="center"/>
      <protection locked="0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/>
    </xf>
    <xf numFmtId="0" fontId="18" fillId="2" borderId="0" xfId="1" applyFont="1" applyBorder="1" applyAlignment="1" applyProtection="1">
      <alignment horizontal="center"/>
      <protection locked="0"/>
    </xf>
    <xf numFmtId="0" fontId="34" fillId="5" borderId="16" xfId="0" applyFont="1" applyFill="1" applyBorder="1" applyAlignment="1">
      <alignment horizontal="right"/>
    </xf>
    <xf numFmtId="0" fontId="35" fillId="2" borderId="17" xfId="1" applyFont="1" applyBorder="1" applyAlignment="1" applyProtection="1">
      <alignment horizontal="left"/>
      <protection locked="0"/>
    </xf>
    <xf numFmtId="0" fontId="20" fillId="5" borderId="18" xfId="4" applyFont="1" applyFill="1" applyBorder="1" applyAlignment="1" applyProtection="1">
      <alignment horizontal="right"/>
    </xf>
    <xf numFmtId="0" fontId="35" fillId="2" borderId="19" xfId="1" applyFont="1" applyBorder="1" applyAlignment="1" applyProtection="1">
      <alignment horizontal="left"/>
      <protection locked="0"/>
    </xf>
    <xf numFmtId="165" fontId="35" fillId="2" borderId="0" xfId="1" applyNumberFormat="1" applyFont="1" applyBorder="1" applyAlignment="1" applyProtection="1">
      <alignment horizontal="right"/>
      <protection locked="0"/>
    </xf>
    <xf numFmtId="0" fontId="34" fillId="5" borderId="20" xfId="0" applyFont="1" applyFill="1" applyBorder="1" applyAlignment="1">
      <alignment horizontal="right"/>
    </xf>
    <xf numFmtId="0" fontId="35" fillId="2" borderId="21" xfId="1" applyFont="1" applyBorder="1" applyAlignment="1" applyProtection="1">
      <alignment horizontal="left"/>
      <protection locked="0"/>
    </xf>
    <xf numFmtId="0" fontId="36" fillId="5" borderId="23" xfId="0" applyFont="1" applyFill="1" applyBorder="1" applyAlignment="1">
      <alignment horizontal="center"/>
    </xf>
    <xf numFmtId="0" fontId="36" fillId="5" borderId="24" xfId="0" applyFont="1" applyFill="1" applyBorder="1" applyAlignment="1">
      <alignment horizontal="center"/>
    </xf>
    <xf numFmtId="2" fontId="35" fillId="2" borderId="26" xfId="1" applyNumberFormat="1" applyFont="1" applyBorder="1" applyAlignment="1" applyProtection="1">
      <alignment horizontal="right"/>
      <protection locked="0"/>
    </xf>
    <xf numFmtId="165" fontId="35" fillId="2" borderId="27" xfId="1" applyNumberFormat="1" applyFont="1" applyBorder="1" applyAlignment="1" applyProtection="1">
      <alignment horizontal="right"/>
      <protection locked="0"/>
    </xf>
    <xf numFmtId="2" fontId="35" fillId="2" borderId="19" xfId="1" applyNumberFormat="1" applyFont="1" applyBorder="1" applyAlignment="1" applyProtection="1">
      <alignment horizontal="right"/>
      <protection locked="0"/>
    </xf>
    <xf numFmtId="0" fontId="20" fillId="5" borderId="25" xfId="4" applyFont="1" applyFill="1" applyBorder="1" applyAlignment="1" applyProtection="1">
      <alignment horizontal="right"/>
    </xf>
    <xf numFmtId="166" fontId="35" fillId="2" borderId="26" xfId="1" applyNumberFormat="1" applyFont="1" applyBorder="1" applyAlignment="1" applyProtection="1">
      <alignment horizontal="left"/>
      <protection locked="0"/>
    </xf>
    <xf numFmtId="166" fontId="35" fillId="2" borderId="19" xfId="1" applyNumberFormat="1" applyFont="1" applyBorder="1" applyAlignment="1" applyProtection="1">
      <alignment horizontal="left"/>
      <protection locked="0"/>
    </xf>
    <xf numFmtId="0" fontId="20" fillId="0" borderId="0" xfId="4" applyFont="1" applyBorder="1" applyAlignment="1">
      <alignment horizontal="right" vertical="top" wrapText="1"/>
    </xf>
    <xf numFmtId="0" fontId="6" fillId="5" borderId="0" xfId="0" applyFont="1" applyFill="1" applyBorder="1" applyAlignment="1">
      <alignment horizontal="center"/>
    </xf>
    <xf numFmtId="0" fontId="37" fillId="0" borderId="0" xfId="0" applyFont="1"/>
    <xf numFmtId="0" fontId="21" fillId="0" borderId="0" xfId="4" applyFont="1" applyAlignment="1">
      <alignment horizontal="right" vertical="top" wrapText="1"/>
    </xf>
    <xf numFmtId="0" fontId="20" fillId="0" borderId="0" xfId="4" applyFont="1" applyAlignment="1">
      <alignment horizontal="left" vertical="top"/>
    </xf>
    <xf numFmtId="0" fontId="33" fillId="0" borderId="0" xfId="0" applyFont="1"/>
    <xf numFmtId="167" fontId="9" fillId="0" borderId="0" xfId="0" applyNumberFormat="1" applyFont="1"/>
    <xf numFmtId="0" fontId="6" fillId="5" borderId="14" xfId="0" applyFont="1" applyFill="1" applyBorder="1"/>
    <xf numFmtId="0" fontId="6" fillId="5" borderId="12" xfId="0" applyFont="1" applyFill="1" applyBorder="1"/>
    <xf numFmtId="165" fontId="3" fillId="5" borderId="12" xfId="0" applyNumberFormat="1" applyFont="1" applyFill="1" applyBorder="1"/>
    <xf numFmtId="165" fontId="3" fillId="5" borderId="15" xfId="0" applyNumberFormat="1" applyFont="1" applyFill="1" applyBorder="1"/>
    <xf numFmtId="0" fontId="34" fillId="0" borderId="0" xfId="0" applyFont="1"/>
    <xf numFmtId="0" fontId="23" fillId="0" borderId="0" xfId="0" applyFont="1" applyAlignment="1">
      <alignment wrapText="1"/>
    </xf>
    <xf numFmtId="0" fontId="21" fillId="0" borderId="0" xfId="4" applyFont="1" applyFill="1" applyAlignment="1">
      <alignment horizontal="right" vertical="top" wrapText="1"/>
    </xf>
    <xf numFmtId="0" fontId="8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0" xfId="0" applyBorder="1" applyAlignment="1"/>
    <xf numFmtId="0" fontId="6" fillId="0" borderId="4" xfId="6" applyFont="1" applyBorder="1"/>
    <xf numFmtId="0" fontId="6" fillId="0" borderId="0" xfId="6" applyFont="1"/>
    <xf numFmtId="0" fontId="21" fillId="0" borderId="0" xfId="4" applyFont="1" applyAlignment="1">
      <alignment horizontal="left" vertical="top" wrapText="1"/>
    </xf>
    <xf numFmtId="0" fontId="2" fillId="0" borderId="0" xfId="0" applyFont="1"/>
    <xf numFmtId="0" fontId="19" fillId="5" borderId="2" xfId="0" applyFont="1" applyFill="1" applyBorder="1" applyAlignment="1">
      <alignment horizontal="center"/>
    </xf>
    <xf numFmtId="0" fontId="43" fillId="0" borderId="2" xfId="0" applyFont="1" applyBorder="1" applyAlignment="1"/>
    <xf numFmtId="0" fontId="19" fillId="5" borderId="2" xfId="0" applyFont="1" applyFill="1" applyBorder="1"/>
    <xf numFmtId="0" fontId="19" fillId="5" borderId="0" xfId="0" applyFont="1" applyFill="1"/>
    <xf numFmtId="0" fontId="8" fillId="5" borderId="0" xfId="0" applyFont="1" applyFill="1" applyBorder="1" applyAlignment="1">
      <alignment horizontal="center"/>
    </xf>
    <xf numFmtId="0" fontId="29" fillId="3" borderId="0" xfId="2" applyFont="1" applyBorder="1" applyAlignment="1">
      <alignment horizontal="center"/>
    </xf>
    <xf numFmtId="0" fontId="29" fillId="3" borderId="8" xfId="2" applyFont="1" applyBorder="1" applyAlignment="1">
      <alignment horizontal="center"/>
    </xf>
    <xf numFmtId="0" fontId="29" fillId="3" borderId="4" xfId="2" applyFont="1" applyBorder="1" applyAlignment="1">
      <alignment horizontal="center"/>
    </xf>
    <xf numFmtId="0" fontId="29" fillId="3" borderId="6" xfId="2" applyFont="1" applyBorder="1" applyAlignment="1">
      <alignment horizontal="center"/>
    </xf>
    <xf numFmtId="165" fontId="9" fillId="5" borderId="0" xfId="0" applyNumberFormat="1" applyFont="1" applyFill="1" applyBorder="1"/>
    <xf numFmtId="0" fontId="9" fillId="5" borderId="1" xfId="0" applyFont="1" applyFill="1" applyBorder="1"/>
    <xf numFmtId="0" fontId="3" fillId="5" borderId="7" xfId="0" applyFont="1" applyFill="1" applyBorder="1"/>
    <xf numFmtId="165" fontId="9" fillId="5" borderId="8" xfId="0" applyNumberFormat="1" applyFont="1" applyFill="1" applyBorder="1"/>
    <xf numFmtId="0" fontId="9" fillId="5" borderId="5" xfId="0" applyFont="1" applyFill="1" applyBorder="1"/>
    <xf numFmtId="165" fontId="9" fillId="5" borderId="6" xfId="0" applyNumberFormat="1" applyFont="1" applyFill="1" applyBorder="1"/>
    <xf numFmtId="0" fontId="6" fillId="5" borderId="1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0" fillId="0" borderId="0" xfId="0" applyProtection="1"/>
    <xf numFmtId="0" fontId="24" fillId="5" borderId="7" xfId="0" applyFont="1" applyFill="1" applyBorder="1" applyProtection="1"/>
    <xf numFmtId="165" fontId="24" fillId="5" borderId="8" xfId="0" applyNumberFormat="1" applyFont="1" applyFill="1" applyBorder="1" applyProtection="1"/>
    <xf numFmtId="0" fontId="24" fillId="5" borderId="5" xfId="0" applyFont="1" applyFill="1" applyBorder="1" applyProtection="1"/>
    <xf numFmtId="165" fontId="24" fillId="5" borderId="6" xfId="0" applyNumberFormat="1" applyFont="1" applyFill="1" applyBorder="1" applyProtection="1"/>
    <xf numFmtId="0" fontId="24" fillId="0" borderId="0" xfId="0" applyFont="1" applyProtection="1"/>
    <xf numFmtId="0" fontId="27" fillId="3" borderId="5" xfId="2" applyFont="1" applyBorder="1" applyAlignment="1" applyProtection="1">
      <alignment horizontal="center"/>
    </xf>
    <xf numFmtId="0" fontId="27" fillId="3" borderId="6" xfId="2" applyFont="1" applyBorder="1" applyAlignment="1" applyProtection="1">
      <alignment horizontal="center"/>
    </xf>
    <xf numFmtId="0" fontId="29" fillId="3" borderId="14" xfId="2" applyFont="1" applyBorder="1" applyProtection="1"/>
    <xf numFmtId="165" fontId="17" fillId="3" borderId="15" xfId="2" applyNumberFormat="1" applyFont="1" applyBorder="1" applyProtection="1"/>
    <xf numFmtId="0" fontId="29" fillId="3" borderId="7" xfId="2" applyFont="1" applyBorder="1" applyProtection="1"/>
    <xf numFmtId="165" fontId="17" fillId="3" borderId="8" xfId="2" applyNumberFormat="1" applyFont="1" applyBorder="1" applyProtection="1"/>
    <xf numFmtId="0" fontId="29" fillId="3" borderId="5" xfId="2" applyFont="1" applyBorder="1" applyProtection="1"/>
    <xf numFmtId="165" fontId="17" fillId="3" borderId="6" xfId="2" applyNumberFormat="1" applyFont="1" applyBorder="1" applyProtection="1"/>
    <xf numFmtId="0" fontId="9" fillId="0" borderId="0" xfId="0" applyFont="1" applyProtection="1"/>
    <xf numFmtId="0" fontId="34" fillId="5" borderId="25" xfId="0" applyFont="1" applyFill="1" applyBorder="1" applyAlignment="1">
      <alignment horizontal="right"/>
    </xf>
    <xf numFmtId="0" fontId="35" fillId="5" borderId="26" xfId="1" applyFont="1" applyFill="1" applyBorder="1" applyAlignment="1" applyProtection="1">
      <alignment horizontal="left"/>
      <protection locked="0"/>
    </xf>
    <xf numFmtId="0" fontId="24" fillId="0" borderId="0" xfId="0" quotePrefix="1" applyFont="1" applyProtection="1"/>
    <xf numFmtId="0" fontId="3" fillId="0" borderId="0" xfId="0" applyFont="1" applyProtection="1"/>
    <xf numFmtId="0" fontId="6" fillId="0" borderId="0" xfId="0" applyFont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6" fillId="5" borderId="2" xfId="0" applyFont="1" applyFill="1" applyBorder="1" applyProtection="1"/>
    <xf numFmtId="0" fontId="6" fillId="0" borderId="0" xfId="0" applyFont="1" applyProtection="1"/>
    <xf numFmtId="0" fontId="6" fillId="5" borderId="0" xfId="0" applyFont="1" applyFill="1" applyProtection="1"/>
    <xf numFmtId="0" fontId="24" fillId="0" borderId="13" xfId="0" applyFont="1" applyBorder="1" applyAlignment="1" applyProtection="1">
      <alignment horizontal="center"/>
    </xf>
    <xf numFmtId="0" fontId="3" fillId="0" borderId="0" xfId="0" applyFont="1" applyBorder="1" applyProtection="1"/>
    <xf numFmtId="165" fontId="9" fillId="5" borderId="0" xfId="0" applyNumberFormat="1" applyFont="1" applyFill="1" applyProtection="1"/>
    <xf numFmtId="2" fontId="9" fillId="5" borderId="0" xfId="0" applyNumberFormat="1" applyFont="1" applyFill="1" applyProtection="1"/>
    <xf numFmtId="0" fontId="9" fillId="5" borderId="0" xfId="0" applyFont="1" applyFill="1" applyProtection="1"/>
    <xf numFmtId="2" fontId="9" fillId="0" borderId="0" xfId="0" applyNumberFormat="1" applyFont="1" applyProtection="1"/>
    <xf numFmtId="0" fontId="3" fillId="5" borderId="12" xfId="0" applyFont="1" applyFill="1" applyBorder="1" applyProtection="1"/>
    <xf numFmtId="165" fontId="9" fillId="5" borderId="12" xfId="0" applyNumberFormat="1" applyFont="1" applyFill="1" applyBorder="1" applyProtection="1"/>
    <xf numFmtId="0" fontId="9" fillId="5" borderId="12" xfId="0" applyFont="1" applyFill="1" applyBorder="1" applyProtection="1"/>
    <xf numFmtId="0" fontId="24" fillId="5" borderId="7" xfId="0" applyFont="1" applyFill="1" applyBorder="1" applyAlignment="1" applyProtection="1">
      <alignment horizontal="center"/>
    </xf>
    <xf numFmtId="0" fontId="3" fillId="0" borderId="8" xfId="0" applyFont="1" applyBorder="1" applyProtection="1"/>
    <xf numFmtId="0" fontId="3" fillId="5" borderId="0" xfId="0" applyFont="1" applyFill="1" applyBorder="1" applyProtection="1"/>
    <xf numFmtId="165" fontId="9" fillId="5" borderId="0" xfId="0" applyNumberFormat="1" applyFont="1" applyFill="1" applyBorder="1" applyProtection="1"/>
    <xf numFmtId="0" fontId="9" fillId="5" borderId="0" xfId="0" applyFont="1" applyFill="1" applyBorder="1" applyProtection="1"/>
    <xf numFmtId="2" fontId="9" fillId="5" borderId="0" xfId="0" applyNumberFormat="1" applyFont="1" applyFill="1" applyBorder="1" applyProtection="1"/>
    <xf numFmtId="0" fontId="3" fillId="5" borderId="4" xfId="0" applyFont="1" applyFill="1" applyBorder="1" applyProtection="1"/>
    <xf numFmtId="2" fontId="9" fillId="5" borderId="4" xfId="0" applyNumberFormat="1" applyFont="1" applyFill="1" applyBorder="1" applyProtection="1"/>
    <xf numFmtId="165" fontId="9" fillId="5" borderId="4" xfId="0" applyNumberFormat="1" applyFont="1" applyFill="1" applyBorder="1" applyProtection="1"/>
    <xf numFmtId="0" fontId="9" fillId="5" borderId="4" xfId="0" applyFont="1" applyFill="1" applyBorder="1" applyProtection="1"/>
    <xf numFmtId="0" fontId="24" fillId="5" borderId="5" xfId="0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0" fontId="43" fillId="0" borderId="0" xfId="0" applyFont="1" applyProtection="1"/>
    <xf numFmtId="0" fontId="36" fillId="5" borderId="22" xfId="0" applyFont="1" applyFill="1" applyBorder="1" applyAlignment="1">
      <alignment horizontal="center"/>
    </xf>
    <xf numFmtId="1" fontId="20" fillId="0" borderId="25" xfId="1" applyNumberFormat="1" applyFont="1" applyFill="1" applyBorder="1" applyAlignment="1" applyProtection="1">
      <alignment horizontal="center"/>
    </xf>
    <xf numFmtId="1" fontId="20" fillId="0" borderId="18" xfId="1" applyNumberFormat="1" applyFont="1" applyFill="1" applyBorder="1" applyAlignment="1" applyProtection="1">
      <alignment horizontal="center"/>
    </xf>
    <xf numFmtId="0" fontId="20" fillId="0" borderId="0" xfId="4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20" fillId="0" borderId="0" xfId="4" applyFont="1" applyAlignment="1">
      <alignment horizontal="left" vertical="top" wrapText="1"/>
    </xf>
    <xf numFmtId="0" fontId="20" fillId="6" borderId="5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/>
    <xf numFmtId="0" fontId="20" fillId="6" borderId="14" xfId="4" applyFont="1" applyFill="1" applyBorder="1" applyAlignment="1">
      <alignment horizontal="center"/>
    </xf>
    <xf numFmtId="0" fontId="20" fillId="6" borderId="12" xfId="4" applyFont="1" applyFill="1" applyBorder="1" applyAlignment="1">
      <alignment horizontal="center"/>
    </xf>
    <xf numFmtId="0" fontId="0" fillId="0" borderId="15" xfId="0" applyBorder="1" applyAlignment="1"/>
    <xf numFmtId="0" fontId="21" fillId="0" borderId="0" xfId="4" applyFont="1" applyAlignment="1">
      <alignment horizontal="left" vertical="top" wrapText="1"/>
    </xf>
    <xf numFmtId="0" fontId="13" fillId="0" borderId="0" xfId="3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21" fillId="0" borderId="0" xfId="4" applyFont="1" applyFill="1" applyAlignment="1">
      <alignment horizontal="left"/>
    </xf>
    <xf numFmtId="0" fontId="20" fillId="6" borderId="1" xfId="4" applyFont="1" applyFill="1" applyBorder="1" applyAlignment="1">
      <alignment horizontal="center"/>
    </xf>
    <xf numFmtId="0" fontId="20" fillId="6" borderId="3" xfId="4" applyFont="1" applyFill="1" applyBorder="1" applyAlignment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46" fillId="3" borderId="1" xfId="2" applyFont="1" applyBorder="1" applyAlignment="1" applyProtection="1">
      <alignment horizontal="center"/>
    </xf>
    <xf numFmtId="0" fontId="46" fillId="3" borderId="2" xfId="2" applyFont="1" applyBorder="1" applyAlignment="1" applyProtection="1">
      <alignment horizontal="center"/>
    </xf>
    <xf numFmtId="0" fontId="0" fillId="0" borderId="3" xfId="0" applyBorder="1" applyAlignment="1" applyProtection="1"/>
    <xf numFmtId="0" fontId="0" fillId="5" borderId="4" xfId="0" applyFill="1" applyBorder="1" applyAlignment="1" applyProtection="1">
      <alignment horizontal="center"/>
    </xf>
    <xf numFmtId="0" fontId="19" fillId="5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27" fillId="3" borderId="14" xfId="2" applyFont="1" applyBorder="1" applyAlignment="1" applyProtection="1">
      <alignment horizontal="center"/>
    </xf>
    <xf numFmtId="0" fontId="27" fillId="3" borderId="15" xfId="2" applyFont="1" applyBorder="1" applyAlignment="1" applyProtection="1">
      <alignment horizontal="center"/>
    </xf>
    <xf numFmtId="0" fontId="29" fillId="3" borderId="2" xfId="2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8" fillId="3" borderId="13" xfId="2" applyFont="1" applyBorder="1" applyAlignment="1">
      <alignment horizontal="center"/>
    </xf>
    <xf numFmtId="0" fontId="5" fillId="3" borderId="1" xfId="8" applyFont="1" applyBorder="1" applyAlignment="1">
      <alignment horizontal="center"/>
    </xf>
    <xf numFmtId="0" fontId="5" fillId="3" borderId="2" xfId="8" applyFont="1" applyBorder="1" applyAlignment="1">
      <alignment horizontal="center"/>
    </xf>
    <xf numFmtId="0" fontId="5" fillId="3" borderId="3" xfId="8" applyFont="1" applyBorder="1" applyAlignment="1">
      <alignment horizontal="center"/>
    </xf>
    <xf numFmtId="0" fontId="5" fillId="3" borderId="1" xfId="2" applyBorder="1" applyAlignment="1">
      <alignment horizontal="center"/>
    </xf>
    <xf numFmtId="0" fontId="5" fillId="3" borderId="2" xfId="2" applyBorder="1" applyAlignment="1">
      <alignment horizontal="center"/>
    </xf>
    <xf numFmtId="0" fontId="5" fillId="3" borderId="3" xfId="2" applyBorder="1" applyAlignment="1">
      <alignment horizontal="center"/>
    </xf>
    <xf numFmtId="0" fontId="13" fillId="0" borderId="0" xfId="3" applyFont="1" applyProtection="1">
      <protection locked="0"/>
    </xf>
  </cellXfs>
  <cellStyles count="9">
    <cellStyle name="Good" xfId="1" builtinId="26"/>
    <cellStyle name="Good 2" xfId="7"/>
    <cellStyle name="Hyperlink" xfId="3" builtinId="8"/>
    <cellStyle name="Neutral" xfId="2" builtinId="28"/>
    <cellStyle name="Neutral 2" xfId="8"/>
    <cellStyle name="Normal" xfId="0" builtinId="0"/>
    <cellStyle name="Normal 2" xfId="5"/>
    <cellStyle name="Normal 3" xfId="6"/>
    <cellStyle name="Normal 3 2 2" xfId="4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D7E6E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748800738007378E-2"/>
          <c:y val="2.7002040957520474E-2"/>
          <c:w val="0.87223298482984757"/>
          <c:h val="0.76087553618375792"/>
        </c:manualLayout>
      </c:layout>
      <c:scatterChart>
        <c:scatterStyle val="lineMarker"/>
        <c:ser>
          <c:idx val="0"/>
          <c:order val="0"/>
          <c:tx>
            <c:v>Child observed</c:v>
          </c:tx>
          <c:spPr>
            <a:ln w="15875">
              <a:solidFill>
                <a:schemeClr val="accent1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1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2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3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4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5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6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2"/>
                        </a:solidFill>
                      </a:rPr>
                      <a:t>7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'Alpha plots'!$X$6:$X$12</c:f>
              <c:numCache>
                <c:formatCode>0.00</c:formatCode>
                <c:ptCount val="7"/>
                <c:pt idx="0">
                  <c:v>2001.71</c:v>
                </c:pt>
                <c:pt idx="1">
                  <c:v>2000.24</c:v>
                </c:pt>
                <c:pt idx="2">
                  <c:v>1998.48</c:v>
                </c:pt>
                <c:pt idx="3">
                  <c:v>1996.43</c:v>
                </c:pt>
                <c:pt idx="4">
                  <c:v>1994.16</c:v>
                </c:pt>
                <c:pt idx="5">
                  <c:v>1991.52</c:v>
                </c:pt>
                <c:pt idx="6">
                  <c:v>1987.99</c:v>
                </c:pt>
              </c:numCache>
            </c:numRef>
          </c:xVal>
          <c:yVal>
            <c:numRef>
              <c:f>'Alpha plots'!$W$6:$W$12</c:f>
              <c:numCache>
                <c:formatCode>0.0000</c:formatCode>
                <c:ptCount val="7"/>
                <c:pt idx="0">
                  <c:v>-0.43892471547391665</c:v>
                </c:pt>
                <c:pt idx="1">
                  <c:v>-0.45194193660477611</c:v>
                </c:pt>
                <c:pt idx="2">
                  <c:v>-0.61122352852920647</c:v>
                </c:pt>
                <c:pt idx="3">
                  <c:v>-0.52661307490261866</c:v>
                </c:pt>
                <c:pt idx="4">
                  <c:v>-0.42876554959258539</c:v>
                </c:pt>
                <c:pt idx="5">
                  <c:v>-0.38027068029734401</c:v>
                </c:pt>
                <c:pt idx="6">
                  <c:v>-0.34831821645892291</c:v>
                </c:pt>
              </c:numCache>
            </c:numRef>
          </c:yVal>
        </c:ser>
        <c:ser>
          <c:idx val="1"/>
          <c:order val="1"/>
          <c:tx>
            <c:v>Child selected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'Alpha plots'!$AD$6:$AD$12</c:f>
              <c:numCache>
                <c:formatCode>0.00</c:formatCode>
                <c:ptCount val="7"/>
                <c:pt idx="0">
                  <c:v>#N/A</c:v>
                </c:pt>
                <c:pt idx="1">
                  <c:v>2000.24</c:v>
                </c:pt>
                <c:pt idx="2">
                  <c:v>1998.48</c:v>
                </c:pt>
                <c:pt idx="3">
                  <c:v>1996.43</c:v>
                </c:pt>
                <c:pt idx="4">
                  <c:v>1994.16</c:v>
                </c:pt>
                <c:pt idx="5">
                  <c:v>1991.52</c:v>
                </c:pt>
                <c:pt idx="6">
                  <c:v>1987.99</c:v>
                </c:pt>
              </c:numCache>
            </c:numRef>
          </c:xVal>
          <c:yVal>
            <c:numRef>
              <c:f>'Alpha plots'!$AC$6:$AC$12</c:f>
              <c:numCache>
                <c:formatCode>0.0000</c:formatCode>
                <c:ptCount val="7"/>
                <c:pt idx="0">
                  <c:v>#N/A</c:v>
                </c:pt>
                <c:pt idx="1">
                  <c:v>-0.45194193660477611</c:v>
                </c:pt>
                <c:pt idx="2">
                  <c:v>-0.61122352852920647</c:v>
                </c:pt>
                <c:pt idx="3">
                  <c:v>-0.52661307490261866</c:v>
                </c:pt>
                <c:pt idx="4">
                  <c:v>-0.42876554959258539</c:v>
                </c:pt>
                <c:pt idx="5">
                  <c:v>-0.38027068029734401</c:v>
                </c:pt>
                <c:pt idx="6">
                  <c:v>-0.34831821645892291</c:v>
                </c:pt>
              </c:numCache>
            </c:numRef>
          </c:yVal>
        </c:ser>
        <c:ser>
          <c:idx val="2"/>
          <c:order val="2"/>
          <c:tx>
            <c:v>Child fitted</c:v>
          </c:tx>
          <c:spPr>
            <a:ln w="2222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'Alpha plots'!$AG$8:$AG$9</c:f>
              <c:numCache>
                <c:formatCode>0.00</c:formatCode>
                <c:ptCount val="2"/>
                <c:pt idx="0">
                  <c:v>1987.99</c:v>
                </c:pt>
                <c:pt idx="1">
                  <c:v>2000.5</c:v>
                </c:pt>
              </c:numCache>
            </c:numRef>
          </c:xVal>
          <c:yVal>
            <c:numRef>
              <c:f>'Alpha plots'!$AH$8:$AH$9</c:f>
              <c:numCache>
                <c:formatCode>0.0000</c:formatCode>
                <c:ptCount val="2"/>
                <c:pt idx="0">
                  <c:v>-0.34818592138547189</c:v>
                </c:pt>
                <c:pt idx="1">
                  <c:v>-0.54955085290427164</c:v>
                </c:pt>
              </c:numCache>
            </c:numRef>
          </c:yVal>
        </c:ser>
        <c:ser>
          <c:idx val="3"/>
          <c:order val="3"/>
          <c:tx>
            <c:v>Adult observed</c:v>
          </c:tx>
          <c:spPr>
            <a:ln w="6350">
              <a:solidFill>
                <a:srgbClr val="7030A0"/>
              </a:solidFill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1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2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3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4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5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6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rgbClr val="7030A0"/>
                        </a:solidFill>
                      </a:rPr>
                      <a:t>7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'Alpha plots'!$X$16:$X$22</c:f>
              <c:numCache>
                <c:formatCode>0.00</c:formatCode>
                <c:ptCount val="7"/>
                <c:pt idx="0">
                  <c:v>1999.23</c:v>
                </c:pt>
                <c:pt idx="1">
                  <c:v>1997.07</c:v>
                </c:pt>
                <c:pt idx="2">
                  <c:v>1995.13</c:v>
                </c:pt>
                <c:pt idx="3">
                  <c:v>1993.43</c:v>
                </c:pt>
                <c:pt idx="4">
                  <c:v>1992.02</c:v>
                </c:pt>
                <c:pt idx="5">
                  <c:v>1991</c:v>
                </c:pt>
                <c:pt idx="6">
                  <c:v>1990.51</c:v>
                </c:pt>
              </c:numCache>
            </c:numRef>
          </c:xVal>
          <c:yVal>
            <c:numRef>
              <c:f>'Alpha plots'!$W$16:$W$22</c:f>
              <c:numCache>
                <c:formatCode>0.0000</c:formatCode>
                <c:ptCount val="7"/>
                <c:pt idx="0">
                  <c:v>-0.51757741644424593</c:v>
                </c:pt>
                <c:pt idx="1">
                  <c:v>-0.61829635060075305</c:v>
                </c:pt>
                <c:pt idx="2">
                  <c:v>-0.5778554779195908</c:v>
                </c:pt>
                <c:pt idx="3">
                  <c:v>-0.50210721967572192</c:v>
                </c:pt>
                <c:pt idx="4">
                  <c:v>-0.45671656936554661</c:v>
                </c:pt>
                <c:pt idx="5">
                  <c:v>-0.4463039314363505</c:v>
                </c:pt>
                <c:pt idx="6">
                  <c:v>-0.44358022389542218</c:v>
                </c:pt>
              </c:numCache>
            </c:numRef>
          </c:yVal>
        </c:ser>
        <c:ser>
          <c:idx val="4"/>
          <c:order val="4"/>
          <c:tx>
            <c:v>Adult selected</c:v>
          </c:tx>
          <c:spPr>
            <a:ln w="15875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'Alpha plots'!$AD$16:$AD$22</c:f>
              <c:numCache>
                <c:formatCode>0.00</c:formatCode>
                <c:ptCount val="7"/>
                <c:pt idx="0">
                  <c:v>#N/A</c:v>
                </c:pt>
                <c:pt idx="1">
                  <c:v>1997.07</c:v>
                </c:pt>
                <c:pt idx="2">
                  <c:v>1995.13</c:v>
                </c:pt>
                <c:pt idx="3">
                  <c:v>1993.43</c:v>
                </c:pt>
                <c:pt idx="4">
                  <c:v>1992.02</c:v>
                </c:pt>
                <c:pt idx="5">
                  <c:v>1991</c:v>
                </c:pt>
                <c:pt idx="6">
                  <c:v>1990.51</c:v>
                </c:pt>
              </c:numCache>
            </c:numRef>
          </c:xVal>
          <c:yVal>
            <c:numRef>
              <c:f>'Alpha plots'!$AC$16:$AC$22</c:f>
              <c:numCache>
                <c:formatCode>0.0000</c:formatCode>
                <c:ptCount val="7"/>
                <c:pt idx="0">
                  <c:v>#N/A</c:v>
                </c:pt>
                <c:pt idx="1">
                  <c:v>-0.61829635060075305</c:v>
                </c:pt>
                <c:pt idx="2">
                  <c:v>-0.5778554779195908</c:v>
                </c:pt>
                <c:pt idx="3">
                  <c:v>-0.50210721967572192</c:v>
                </c:pt>
                <c:pt idx="4">
                  <c:v>-0.45671656936554661</c:v>
                </c:pt>
                <c:pt idx="5">
                  <c:v>-0.4463039314363505</c:v>
                </c:pt>
                <c:pt idx="6">
                  <c:v>-0.44358022389542218</c:v>
                </c:pt>
              </c:numCache>
            </c:numRef>
          </c:yVal>
        </c:ser>
        <c:ser>
          <c:idx val="5"/>
          <c:order val="5"/>
          <c:tx>
            <c:v>Adult fitted</c:v>
          </c:tx>
          <c:spPr>
            <a:ln w="22225"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'Alpha plots'!$AG$18:$AG$19</c:f>
              <c:numCache>
                <c:formatCode>0.00</c:formatCode>
                <c:ptCount val="2"/>
                <c:pt idx="0">
                  <c:v>1990.51</c:v>
                </c:pt>
                <c:pt idx="1">
                  <c:v>2000.5</c:v>
                </c:pt>
              </c:numCache>
            </c:numRef>
          </c:xVal>
          <c:yVal>
            <c:numRef>
              <c:f>'Alpha plots'!$AH$18:$AH$19</c:f>
              <c:numCache>
                <c:formatCode>0.0000</c:formatCode>
                <c:ptCount val="2"/>
                <c:pt idx="0">
                  <c:v>-0.4300462199725672</c:v>
                </c:pt>
                <c:pt idx="1">
                  <c:v>-0.71831818929239688</c:v>
                </c:pt>
              </c:numCache>
            </c:numRef>
          </c:yVal>
        </c:ser>
        <c:ser>
          <c:idx val="6"/>
          <c:order val="6"/>
          <c:tx>
            <c:v>Time selected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'Alpha plots'!$AF$24:$AF$25</c:f>
              <c:numCache>
                <c:formatCode>General</c:formatCode>
                <c:ptCount val="2"/>
                <c:pt idx="0">
                  <c:v>1997.5</c:v>
                </c:pt>
                <c:pt idx="1">
                  <c:v>1997.5</c:v>
                </c:pt>
              </c:numCache>
            </c:numRef>
          </c:xVal>
          <c:yVal>
            <c:numRef>
              <c:f>'Alpha plots'!$AG$24:$AG$25</c:f>
              <c:numCache>
                <c:formatCode>0.0000</c:formatCode>
                <c:ptCount val="2"/>
                <c:pt idx="0">
                  <c:v>-0.71831818929239688</c:v>
                </c:pt>
                <c:pt idx="1">
                  <c:v>-0.34831821645892291</c:v>
                </c:pt>
              </c:numCache>
            </c:numRef>
          </c:yVal>
        </c:ser>
        <c:axId val="79305344"/>
        <c:axId val="79328000"/>
      </c:scatterChart>
      <c:valAx>
        <c:axId val="79305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location</a:t>
                </a:r>
              </a:p>
            </c:rich>
          </c:tx>
          <c:layout/>
        </c:title>
        <c:numFmt formatCode="0" sourceLinked="0"/>
        <c:tickLblPos val="nextTo"/>
        <c:crossAx val="79328000"/>
        <c:crossesAt val="-1"/>
        <c:crossBetween val="midCat"/>
      </c:valAx>
      <c:valAx>
        <c:axId val="793280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alpha</a:t>
                </a:r>
              </a:p>
            </c:rich>
          </c:tx>
          <c:layout/>
        </c:title>
        <c:numFmt formatCode="0.0" sourceLinked="0"/>
        <c:majorTickMark val="in"/>
        <c:tickLblPos val="nextTo"/>
        <c:crossAx val="79305344"/>
        <c:crosses val="autoZero"/>
        <c:crossBetween val="midCat"/>
      </c:valAx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484999088741234"/>
          <c:y val="0.90512845894263216"/>
          <c:w val="0.7493574527792296"/>
          <c:h val="8.1691788526434217E-2"/>
        </c:manualLayout>
      </c:layout>
    </c:legend>
    <c:dispBlanksAs val="gap"/>
  </c:chart>
  <c:spPr>
    <a:solidFill>
      <a:srgbClr val="D7E6E6"/>
    </a:solidFill>
    <a:ln>
      <a:solidFill>
        <a:schemeClr val="accent5">
          <a:lumMod val="75000"/>
        </a:schemeClr>
      </a:solidFill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lineMarker"/>
        <c:ser>
          <c:idx val="1"/>
          <c:order val="0"/>
          <c:tx>
            <c:v>Children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Method!$D$7:$D$13</c:f>
              <c:numCache>
                <c:formatCode>0.00</c:formatCode>
                <c:ptCount val="7"/>
                <c:pt idx="0">
                  <c:v>2001.71</c:v>
                </c:pt>
                <c:pt idx="1">
                  <c:v>2000.24</c:v>
                </c:pt>
                <c:pt idx="2">
                  <c:v>1998.48</c:v>
                </c:pt>
                <c:pt idx="3">
                  <c:v>1996.43</c:v>
                </c:pt>
                <c:pt idx="4">
                  <c:v>1994.16</c:v>
                </c:pt>
                <c:pt idx="5">
                  <c:v>1991.52</c:v>
                </c:pt>
                <c:pt idx="6">
                  <c:v>1987.99</c:v>
                </c:pt>
              </c:numCache>
            </c:numRef>
          </c:xVal>
          <c:yVal>
            <c:numRef>
              <c:f>Method!$F$7:$F$13</c:f>
              <c:numCache>
                <c:formatCode>0.0000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yVal>
        </c:ser>
        <c:ser>
          <c:idx val="0"/>
          <c:order val="1"/>
          <c:tx>
            <c:v>Adults</c:v>
          </c:tx>
          <c:spPr>
            <a:ln>
              <a:solidFill>
                <a:srgbClr val="7030A0"/>
              </a:solidFill>
              <a:prstDash val="solid"/>
            </a:ln>
          </c:spPr>
          <c:marker>
            <c:symbol val="none"/>
          </c:marker>
          <c:xVal>
            <c:numRef>
              <c:f>Method!$D$18:$D$24</c:f>
              <c:numCache>
                <c:formatCode>0.00</c:formatCode>
                <c:ptCount val="7"/>
                <c:pt idx="0">
                  <c:v>1999.23</c:v>
                </c:pt>
                <c:pt idx="1">
                  <c:v>1997.07</c:v>
                </c:pt>
                <c:pt idx="2">
                  <c:v>1995.13</c:v>
                </c:pt>
                <c:pt idx="3">
                  <c:v>1993.43</c:v>
                </c:pt>
                <c:pt idx="4">
                  <c:v>1992.02</c:v>
                </c:pt>
                <c:pt idx="5">
                  <c:v>1991</c:v>
                </c:pt>
                <c:pt idx="6">
                  <c:v>1990.51</c:v>
                </c:pt>
              </c:numCache>
            </c:numRef>
          </c:xVal>
          <c:yVal>
            <c:numRef>
              <c:f>Method!$F$18:$F$24</c:f>
              <c:numCache>
                <c:formatCode>0.0000_)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yVal>
        </c:ser>
        <c:axId val="80414208"/>
        <c:axId val="80416128"/>
      </c:scatterChart>
      <c:valAx>
        <c:axId val="8041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location</a:t>
                </a:r>
              </a:p>
            </c:rich>
          </c:tx>
          <c:layout/>
        </c:title>
        <c:numFmt formatCode="0" sourceLinked="0"/>
        <c:tickLblPos val="nextTo"/>
        <c:crossAx val="80416128"/>
        <c:crossesAt val="-1"/>
        <c:crossBetween val="midCat"/>
      </c:valAx>
      <c:valAx>
        <c:axId val="80416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alpha</a:t>
                </a:r>
              </a:p>
            </c:rich>
          </c:tx>
          <c:layout/>
        </c:title>
        <c:numFmt formatCode="#,##0.00" sourceLinked="0"/>
        <c:tickLblPos val="nextTo"/>
        <c:crossAx val="80414208"/>
        <c:crosses val="autoZero"/>
        <c:crossBetween val="midCat"/>
      </c:valAx>
    </c:plotArea>
    <c:legend>
      <c:legendPos val="b"/>
      <c:layout/>
    </c:legend>
    <c:dispBlanksAs val="gap"/>
  </c:chart>
  <c:spPr>
    <a:solidFill>
      <a:srgbClr val="D7E6E6"/>
    </a:solidFill>
    <a:ln>
      <a:solidFill>
        <a:schemeClr val="accent5">
          <a:lumMod val="75000"/>
        </a:schemeClr>
      </a:solidFill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strRef>
          <c:f>Results!$E$5</c:f>
          <c:strCache>
            <c:ptCount val="1"/>
            <c:pt idx="0">
              <c:v>Fitted life table - Dominican Rep., Females, 1997.5</c:v>
            </c:pt>
          </c:strCache>
        </c:strRef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Method!$Q$5:$Q$6</c:f>
              <c:strCache>
                <c:ptCount val="1"/>
                <c:pt idx="0">
                  <c:v>#N/A #N/A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Results!$A$7:$A$33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</c:numCache>
            </c:numRef>
          </c:xVal>
          <c:yVal>
            <c:numRef>
              <c:f>Results!$B$7:$B$33</c:f>
              <c:numCache>
                <c:formatCode>0.0000</c:formatCode>
                <c:ptCount val="27"/>
                <c:pt idx="0">
                  <c:v>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</c:numCache>
            </c:numRef>
          </c:yVal>
        </c:ser>
        <c:axId val="80568320"/>
        <c:axId val="80570240"/>
      </c:scatterChart>
      <c:valAx>
        <c:axId val="80568320"/>
        <c:scaling>
          <c:orientation val="minMax"/>
          <c:max val="11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</c:title>
        <c:numFmt formatCode="General" sourceLinked="1"/>
        <c:tickLblPos val="nextTo"/>
        <c:crossAx val="80570240"/>
        <c:crosses val="autoZero"/>
        <c:crossBetween val="midCat"/>
        <c:majorUnit val="5"/>
      </c:valAx>
      <c:valAx>
        <c:axId val="80570240"/>
        <c:scaling>
          <c:orientation val="minMax"/>
          <c:max val="1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tickLblPos val="nextTo"/>
        <c:crossAx val="80568320"/>
        <c:crosses val="autoZero"/>
        <c:crossBetween val="midCat"/>
      </c:valAx>
    </c:plotArea>
    <c:legend>
      <c:legendPos val="b"/>
      <c:layout/>
    </c:legend>
    <c:plotVisOnly val="1"/>
    <c:dispBlanksAs val="gap"/>
  </c:chart>
  <c:spPr>
    <a:solidFill>
      <a:srgbClr val="D7E6E6"/>
    </a:solidFill>
    <a:ln>
      <a:solidFill>
        <a:srgbClr val="4BACC6">
          <a:lumMod val="75000"/>
        </a:srgbClr>
      </a:solidFill>
    </a:ln>
  </c:spPr>
  <c:txPr>
    <a:bodyPr/>
    <a:lstStyle/>
    <a:p>
      <a:pPr>
        <a:defRPr sz="12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76200</xdr:rowOff>
    </xdr:from>
    <xdr:to>
      <xdr:col>15</xdr:col>
      <xdr:colOff>114300</xdr:colOff>
      <xdr:row>29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76200"/>
          <a:ext cx="7981950" cy="6572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238126</xdr:colOff>
      <xdr:row>0</xdr:row>
      <xdr:rowOff>38099</xdr:rowOff>
    </xdr:from>
    <xdr:to>
      <xdr:col>19</xdr:col>
      <xdr:colOff>398851</xdr:colOff>
      <xdr:row>29</xdr:row>
      <xdr:rowOff>119549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32</xdr:row>
      <xdr:rowOff>0</xdr:rowOff>
    </xdr:from>
    <xdr:to>
      <xdr:col>19</xdr:col>
      <xdr:colOff>408376</xdr:colOff>
      <xdr:row>62</xdr:row>
      <xdr:rowOff>138600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200024</xdr:rowOff>
    </xdr:from>
    <xdr:to>
      <xdr:col>15</xdr:col>
      <xdr:colOff>9526</xdr:colOff>
      <xdr:row>28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content/combining-indirect-estimates-child-and-adult-mortality-produce-life-tab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emographicestimation.iussp.org/content/relational-standards-used" TargetMode="External"/><Relationship Id="rId2" Type="http://schemas.openxmlformats.org/officeDocument/2006/relationships/hyperlink" Target="http://www.un.org/esa/population/techcoop/DemMod/model_lifetabs/Model_LT_Annex2.pdf" TargetMode="External"/><Relationship Id="rId1" Type="http://schemas.openxmlformats.org/officeDocument/2006/relationships/hyperlink" Target="http://esa.un.org/wpp/Model-Life-Tables/data/MLT_UN2010-130_1y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showGridLines="0" showRowColHeaders="0" tabSelected="1" workbookViewId="0">
      <selection activeCell="F11" sqref="F11"/>
    </sheetView>
  </sheetViews>
  <sheetFormatPr defaultRowHeight="15"/>
  <cols>
    <col min="1" max="1" width="5" customWidth="1"/>
    <col min="2" max="2" width="3.140625" customWidth="1"/>
    <col min="3" max="3" width="72.7109375" customWidth="1"/>
    <col min="4" max="4" width="6.140625" customWidth="1"/>
    <col min="5" max="5" width="25.7109375" customWidth="1"/>
    <col min="6" max="6" width="16.7109375" customWidth="1"/>
    <col min="7" max="7" width="13.5703125" bestFit="1" customWidth="1"/>
  </cols>
  <sheetData>
    <row r="1" spans="1:12" ht="15.75">
      <c r="A1" s="193" t="s">
        <v>126</v>
      </c>
      <c r="B1" s="194"/>
      <c r="C1" s="194"/>
      <c r="D1" s="195"/>
    </row>
    <row r="2" spans="1:12" ht="15.75">
      <c r="A2" s="190" t="s">
        <v>127</v>
      </c>
      <c r="B2" s="191"/>
      <c r="C2" s="191"/>
      <c r="D2" s="192"/>
    </row>
    <row r="3" spans="1:12" ht="15.75" customHeight="1">
      <c r="B3" s="39"/>
      <c r="C3" s="39"/>
    </row>
    <row r="4" spans="1:12" ht="15.75" customHeight="1">
      <c r="A4" s="200" t="s">
        <v>80</v>
      </c>
      <c r="B4" s="200"/>
      <c r="C4" s="200"/>
    </row>
    <row r="5" spans="1:12" ht="15.75" customHeight="1">
      <c r="A5" s="197" t="s">
        <v>81</v>
      </c>
      <c r="B5" s="197"/>
      <c r="C5" s="197"/>
      <c r="D5" s="198"/>
      <c r="E5" s="198"/>
    </row>
    <row r="6" spans="1:12" ht="15.75" customHeight="1">
      <c r="B6" s="39"/>
      <c r="C6" s="40"/>
    </row>
    <row r="7" spans="1:12" ht="94.5" customHeight="1">
      <c r="A7" s="196" t="s">
        <v>101</v>
      </c>
      <c r="B7" s="196"/>
      <c r="C7" s="196"/>
    </row>
    <row r="8" spans="1:12" ht="15.7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5.75" customHeight="1" thickBot="1">
      <c r="A9" s="104" t="s">
        <v>82</v>
      </c>
      <c r="B9" s="74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ht="15.75" customHeight="1">
      <c r="A10" s="41">
        <v>1</v>
      </c>
      <c r="B10" s="74" t="s">
        <v>133</v>
      </c>
      <c r="C10" s="70"/>
      <c r="D10" s="70"/>
      <c r="E10" s="85" t="s">
        <v>4</v>
      </c>
      <c r="F10" s="86" t="s">
        <v>102</v>
      </c>
      <c r="G10" s="70"/>
      <c r="H10" s="70"/>
      <c r="I10" s="70"/>
      <c r="J10" s="70"/>
      <c r="K10" s="70"/>
      <c r="L10" s="70"/>
    </row>
    <row r="11" spans="1:12" ht="15.75" customHeight="1" thickBot="1">
      <c r="A11" s="41">
        <v>2</v>
      </c>
      <c r="B11" s="74" t="s">
        <v>128</v>
      </c>
      <c r="C11" s="70"/>
      <c r="D11" s="70"/>
      <c r="E11" s="87" t="s">
        <v>13</v>
      </c>
      <c r="F11" s="88" t="s">
        <v>15</v>
      </c>
      <c r="G11" s="70"/>
      <c r="H11" s="70"/>
      <c r="I11" s="70"/>
      <c r="J11" s="70"/>
      <c r="K11" s="70"/>
      <c r="L11" s="70"/>
    </row>
    <row r="12" spans="1:12" ht="15.75" customHeight="1">
      <c r="A12" s="74"/>
      <c r="B12" s="74" t="s">
        <v>129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5.75" customHeight="1">
      <c r="A13" s="74"/>
      <c r="B13" s="74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.75" customHeight="1" thickBot="1">
      <c r="A14" s="41">
        <v>3</v>
      </c>
      <c r="B14" s="196" t="s">
        <v>130</v>
      </c>
      <c r="C14" s="196"/>
      <c r="D14" s="199"/>
      <c r="H14" s="70"/>
      <c r="I14" s="70"/>
      <c r="J14" s="70"/>
      <c r="K14" s="70"/>
      <c r="L14" s="70"/>
    </row>
    <row r="15" spans="1:12" ht="15.75" customHeight="1">
      <c r="A15" s="41"/>
      <c r="B15" s="187" t="str">
        <f>"Indirect estimates of child mortality: "&amp;F10&amp;" "&amp;LOWER(F11)&amp;"s"</f>
        <v>Indirect estimates of child mortality: Dominican Rep. females</v>
      </c>
      <c r="C15" s="188"/>
      <c r="D15" s="100"/>
      <c r="E15" s="184" t="s">
        <v>6</v>
      </c>
      <c r="F15" s="92" t="s">
        <v>56</v>
      </c>
      <c r="G15" s="93" t="s">
        <v>57</v>
      </c>
      <c r="H15" s="70"/>
      <c r="I15" s="70"/>
      <c r="J15" s="70"/>
      <c r="K15" s="70"/>
      <c r="L15" s="70"/>
    </row>
    <row r="16" spans="1:12" ht="15.75" customHeight="1">
      <c r="A16" s="41"/>
      <c r="B16" s="70"/>
      <c r="C16" s="70"/>
      <c r="D16" s="70"/>
      <c r="E16" s="185">
        <v>1</v>
      </c>
      <c r="F16" s="89">
        <v>3.3799999999999997E-2</v>
      </c>
      <c r="G16" s="94">
        <v>2001.71</v>
      </c>
      <c r="H16" s="70"/>
      <c r="I16" s="70"/>
      <c r="J16" s="70"/>
      <c r="K16" s="70"/>
      <c r="L16" s="70"/>
    </row>
    <row r="17" spans="1:12" ht="15.75" customHeight="1">
      <c r="A17" s="41"/>
      <c r="B17" s="70"/>
      <c r="C17" s="70"/>
      <c r="D17" s="70"/>
      <c r="E17" s="185">
        <v>2</v>
      </c>
      <c r="F17" s="89">
        <v>4.2900000000000001E-2</v>
      </c>
      <c r="G17" s="94">
        <v>2000.24</v>
      </c>
      <c r="H17" s="70"/>
      <c r="I17" s="70"/>
      <c r="J17" s="70"/>
      <c r="K17" s="70"/>
      <c r="L17" s="70"/>
    </row>
    <row r="18" spans="1:12" ht="15.75" customHeight="1">
      <c r="A18" s="41"/>
      <c r="B18" s="70"/>
      <c r="C18" s="70"/>
      <c r="D18" s="70"/>
      <c r="E18" s="185">
        <v>3</v>
      </c>
      <c r="F18" s="89">
        <v>3.5499999999999997E-2</v>
      </c>
      <c r="G18" s="94">
        <v>1998.48</v>
      </c>
      <c r="H18" s="70"/>
      <c r="I18" s="70"/>
      <c r="J18" s="70"/>
      <c r="K18" s="70"/>
      <c r="L18" s="70"/>
    </row>
    <row r="19" spans="1:12" ht="15.75" customHeight="1">
      <c r="A19" s="41"/>
      <c r="B19" s="70"/>
      <c r="C19" s="70"/>
      <c r="D19" s="70"/>
      <c r="E19" s="185">
        <v>5</v>
      </c>
      <c r="F19" s="89">
        <v>4.6699999999999998E-2</v>
      </c>
      <c r="G19" s="94">
        <v>1996.43</v>
      </c>
      <c r="H19" s="70"/>
      <c r="I19" s="70"/>
      <c r="J19" s="70"/>
      <c r="K19" s="70"/>
      <c r="L19" s="70"/>
    </row>
    <row r="20" spans="1:12" ht="15.75" customHeight="1">
      <c r="A20" s="41"/>
      <c r="B20" s="70"/>
      <c r="C20" s="70"/>
      <c r="D20" s="70"/>
      <c r="E20" s="185">
        <v>10</v>
      </c>
      <c r="F20" s="89">
        <v>6.1899999999999997E-2</v>
      </c>
      <c r="G20" s="94">
        <v>1994.16</v>
      </c>
      <c r="H20" s="70"/>
      <c r="I20" s="70"/>
      <c r="J20" s="70"/>
      <c r="K20" s="70"/>
      <c r="L20" s="70"/>
    </row>
    <row r="21" spans="1:12" ht="15.75" customHeight="1">
      <c r="A21" s="41"/>
      <c r="B21" s="70"/>
      <c r="C21" s="70"/>
      <c r="D21" s="70"/>
      <c r="E21" s="185">
        <v>15</v>
      </c>
      <c r="F21" s="89">
        <v>7.0999999999999994E-2</v>
      </c>
      <c r="G21" s="94">
        <v>1991.52</v>
      </c>
      <c r="H21" s="70"/>
      <c r="I21" s="70"/>
      <c r="J21" s="70"/>
      <c r="K21" s="70"/>
      <c r="L21" s="70"/>
    </row>
    <row r="22" spans="1:12" ht="15.75" customHeight="1" thickBot="1">
      <c r="A22" s="41"/>
      <c r="B22" s="70"/>
      <c r="C22" s="70"/>
      <c r="D22" s="70"/>
      <c r="E22" s="186">
        <v>20</v>
      </c>
      <c r="F22" s="95">
        <v>7.9899999999999999E-2</v>
      </c>
      <c r="G22" s="96">
        <v>1987.99</v>
      </c>
      <c r="H22" s="70"/>
      <c r="I22" s="70"/>
      <c r="J22" s="70"/>
      <c r="K22" s="70"/>
      <c r="L22" s="70"/>
    </row>
    <row r="23" spans="1:12" ht="15.75" customHeight="1" thickBot="1">
      <c r="A23" s="41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5.75" customHeight="1" thickBot="1">
      <c r="A24" s="41">
        <v>4</v>
      </c>
      <c r="B24" s="196" t="s">
        <v>131</v>
      </c>
      <c r="C24" s="196"/>
      <c r="D24" s="70"/>
      <c r="E24" s="90" t="s">
        <v>84</v>
      </c>
      <c r="F24" s="91" t="s">
        <v>8</v>
      </c>
      <c r="G24" s="70"/>
      <c r="H24" s="70"/>
      <c r="I24" s="70"/>
      <c r="J24" s="70"/>
      <c r="K24" s="70"/>
      <c r="L24" s="70"/>
    </row>
    <row r="25" spans="1:12" ht="15.75" customHeight="1">
      <c r="D25" s="70"/>
      <c r="E25" s="70"/>
      <c r="F25" s="70"/>
      <c r="G25" s="70"/>
      <c r="H25" s="70"/>
      <c r="I25" s="70"/>
      <c r="J25" s="70"/>
      <c r="K25" s="70"/>
      <c r="L25" s="70"/>
    </row>
    <row r="26" spans="1:12" ht="15.75" customHeight="1" thickBot="1">
      <c r="A26" s="41">
        <v>5</v>
      </c>
      <c r="B26" s="196" t="s">
        <v>132</v>
      </c>
      <c r="C26" s="196"/>
      <c r="D26" s="199"/>
      <c r="H26" s="70"/>
      <c r="I26" s="70"/>
      <c r="J26" s="70"/>
      <c r="K26" s="70"/>
      <c r="L26" s="70"/>
    </row>
    <row r="27" spans="1:12" ht="15.75" customHeight="1">
      <c r="A27" s="41"/>
      <c r="B27" s="70"/>
      <c r="C27" s="187" t="str">
        <f>"Indirect estimates of adult mortality: "&amp; F24&amp;" method, "&amp;F10&amp;" "&amp;LOWER(F11)&amp;"s"</f>
        <v>Indirect estimates of adult mortality: Orphanhood method, Dominican Rep. females</v>
      </c>
      <c r="D27" s="100"/>
      <c r="E27" s="184" t="s">
        <v>9</v>
      </c>
      <c r="F27" s="92" t="str">
        <f>"np"&amp;Method!U44</f>
        <v>np25</v>
      </c>
      <c r="G27" s="93" t="s">
        <v>57</v>
      </c>
      <c r="H27" s="70"/>
      <c r="I27" s="70"/>
      <c r="J27" s="70"/>
      <c r="K27" s="70"/>
      <c r="L27" s="70"/>
    </row>
    <row r="28" spans="1:12" ht="15.75" customHeight="1">
      <c r="A28" s="41"/>
      <c r="B28" s="70"/>
      <c r="C28" s="188"/>
      <c r="D28" s="70"/>
      <c r="E28" s="185">
        <f>IF(Method!$U$40=1,10,5)</f>
        <v>10</v>
      </c>
      <c r="F28" s="89">
        <v>0.98580000000000001</v>
      </c>
      <c r="G28" s="94">
        <v>1999.23</v>
      </c>
      <c r="H28" s="70"/>
      <c r="I28" s="70"/>
      <c r="J28" s="70"/>
      <c r="K28" s="70"/>
      <c r="L28" s="70"/>
    </row>
    <row r="29" spans="1:12" ht="15.75" customHeight="1">
      <c r="A29" s="41"/>
      <c r="B29" s="70"/>
      <c r="C29" s="70"/>
      <c r="D29" s="70"/>
      <c r="E29" s="185">
        <f>E28+5</f>
        <v>15</v>
      </c>
      <c r="F29" s="89">
        <v>0.98009999999999997</v>
      </c>
      <c r="G29" s="94">
        <v>1997.07</v>
      </c>
      <c r="H29" s="70"/>
      <c r="I29" s="70"/>
      <c r="J29" s="70"/>
      <c r="K29" s="70"/>
      <c r="L29" s="70"/>
    </row>
    <row r="30" spans="1:12" ht="15.75" customHeight="1">
      <c r="A30" s="41"/>
      <c r="B30" s="70"/>
      <c r="C30" s="70"/>
      <c r="D30" s="70"/>
      <c r="E30" s="185">
        <f t="shared" ref="E30:E34" si="0">E29+5</f>
        <v>20</v>
      </c>
      <c r="F30" s="89">
        <v>0.96799999999999997</v>
      </c>
      <c r="G30" s="94">
        <v>1995.13</v>
      </c>
      <c r="H30" s="70"/>
      <c r="I30" s="70"/>
      <c r="J30" s="70"/>
      <c r="K30" s="70"/>
      <c r="L30" s="70"/>
    </row>
    <row r="31" spans="1:12" ht="15.75" customHeight="1">
      <c r="A31" s="41"/>
      <c r="B31" s="70"/>
      <c r="C31" s="70"/>
      <c r="D31" s="70"/>
      <c r="E31" s="185">
        <f t="shared" si="0"/>
        <v>25</v>
      </c>
      <c r="F31" s="89">
        <v>0.94789999999999996</v>
      </c>
      <c r="G31" s="94">
        <v>1993.43</v>
      </c>
      <c r="H31" s="70"/>
      <c r="I31" s="70"/>
      <c r="J31" s="70"/>
      <c r="K31" s="70"/>
      <c r="L31" s="70"/>
    </row>
    <row r="32" spans="1:12" ht="15.75" customHeight="1">
      <c r="A32" s="41"/>
      <c r="B32" s="70"/>
      <c r="C32" s="70"/>
      <c r="D32" s="70"/>
      <c r="E32" s="185">
        <f t="shared" si="0"/>
        <v>30</v>
      </c>
      <c r="F32" s="89">
        <v>0.9214</v>
      </c>
      <c r="G32" s="94">
        <v>1992.02</v>
      </c>
      <c r="H32" s="70"/>
      <c r="I32" s="70"/>
      <c r="J32" s="70"/>
      <c r="K32" s="70"/>
      <c r="L32" s="70"/>
    </row>
    <row r="33" spans="1:12" ht="15.75" customHeight="1">
      <c r="A33" s="41"/>
      <c r="B33" s="70"/>
      <c r="C33" s="70"/>
      <c r="D33" s="70"/>
      <c r="E33" s="185">
        <f t="shared" si="0"/>
        <v>35</v>
      </c>
      <c r="F33" s="89">
        <v>0.88719999999999999</v>
      </c>
      <c r="G33" s="94">
        <v>1991</v>
      </c>
      <c r="H33" s="70"/>
      <c r="I33" s="70"/>
      <c r="J33" s="70"/>
      <c r="K33" s="70"/>
      <c r="L33" s="70"/>
    </row>
    <row r="34" spans="1:12" ht="15.75" customHeight="1" thickBot="1">
      <c r="A34" s="41"/>
      <c r="B34" s="70"/>
      <c r="C34" s="70"/>
      <c r="D34" s="70"/>
      <c r="E34" s="186">
        <f t="shared" si="0"/>
        <v>40</v>
      </c>
      <c r="F34" s="95">
        <v>0.83730000000000004</v>
      </c>
      <c r="G34" s="96">
        <v>1990.51</v>
      </c>
      <c r="H34" s="70"/>
      <c r="I34" s="70"/>
      <c r="J34" s="70"/>
      <c r="K34" s="70"/>
      <c r="L34" s="70"/>
    </row>
    <row r="35" spans="1:12" ht="15.75" customHeight="1" thickBot="1">
      <c r="A35" s="41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ht="15.75" customHeight="1">
      <c r="A36" s="103">
        <v>6</v>
      </c>
      <c r="B36" s="196" t="s">
        <v>137</v>
      </c>
      <c r="C36" s="196"/>
      <c r="D36" s="70"/>
      <c r="E36" s="85" t="s">
        <v>5</v>
      </c>
      <c r="F36" s="86">
        <v>1997.5</v>
      </c>
      <c r="I36" s="70"/>
      <c r="J36" s="70"/>
      <c r="K36" s="70"/>
      <c r="L36" s="70"/>
    </row>
    <row r="37" spans="1:12" ht="15.75" customHeight="1">
      <c r="A37" s="103"/>
      <c r="B37" s="189" t="str">
        <f>"N.B. Value must be in range ("&amp;ROUND(MIN(Method!D13,Method!D24)-3,2)&amp;","&amp;ROUND(MIN(Method!D7,Method!D18)+3,2)&amp;")"</f>
        <v>N.B. Value must be in range (1984.99,2002.23)</v>
      </c>
      <c r="C37" s="189"/>
      <c r="D37" s="119"/>
      <c r="E37" s="153"/>
      <c r="F37" s="154"/>
      <c r="I37" s="119"/>
      <c r="J37" s="119"/>
      <c r="K37" s="119"/>
      <c r="L37" s="119"/>
    </row>
    <row r="38" spans="1:12" ht="15.75" customHeight="1">
      <c r="A38" s="103">
        <v>7</v>
      </c>
      <c r="B38" s="196" t="s">
        <v>83</v>
      </c>
      <c r="C38" s="196"/>
      <c r="D38" s="70"/>
      <c r="E38" s="97" t="s">
        <v>125</v>
      </c>
      <c r="F38" s="98" t="s">
        <v>42</v>
      </c>
      <c r="H38" s="69"/>
      <c r="I38" s="70"/>
      <c r="J38" s="70"/>
      <c r="K38" s="70"/>
      <c r="L38" s="70"/>
    </row>
    <row r="39" spans="1:12" ht="15.75" customHeight="1" thickBot="1">
      <c r="A39" s="103">
        <v>8</v>
      </c>
      <c r="B39" s="196" t="str">
        <f>"Select an appropriate family of model life tables from the "&amp;F38&amp;" system"</f>
        <v>Select an appropriate family of model life tables from the UN system</v>
      </c>
      <c r="C39" s="196"/>
      <c r="D39" s="70"/>
      <c r="E39" s="87" t="s">
        <v>40</v>
      </c>
      <c r="F39" s="99" t="s">
        <v>73</v>
      </c>
      <c r="H39" s="69"/>
      <c r="I39" s="70"/>
      <c r="J39" s="70"/>
      <c r="K39" s="70"/>
      <c r="L39" s="70"/>
    </row>
    <row r="40" spans="1:12" ht="16.5">
      <c r="A40" s="70"/>
      <c r="B40" s="69"/>
      <c r="C40" s="70"/>
      <c r="D40" s="70"/>
      <c r="E40" s="83"/>
      <c r="F40" s="105" t="str">
        <f>IF(ISNA(Method!U5),"Invalid life table selected","")</f>
        <v/>
      </c>
      <c r="H40" s="69"/>
      <c r="I40" s="70"/>
      <c r="J40" s="70"/>
      <c r="K40" s="70"/>
      <c r="L40" s="70"/>
    </row>
    <row r="41" spans="1:12" ht="58.7" customHeight="1">
      <c r="A41" s="103">
        <v>9</v>
      </c>
      <c r="B41" s="196" t="s">
        <v>136</v>
      </c>
      <c r="C41" s="196"/>
      <c r="D41" s="70"/>
      <c r="E41" s="83"/>
      <c r="H41" s="69"/>
      <c r="I41" s="70"/>
      <c r="J41" s="70"/>
      <c r="K41" s="70"/>
      <c r="L41" s="70"/>
    </row>
    <row r="42" spans="1:12" ht="31.5" customHeight="1">
      <c r="A42" s="113">
        <v>10</v>
      </c>
      <c r="B42" s="196" t="s">
        <v>135</v>
      </c>
      <c r="C42" s="196"/>
    </row>
    <row r="43" spans="1:12" ht="15.75" customHeight="1">
      <c r="A43" s="113">
        <v>11</v>
      </c>
      <c r="B43" s="42" t="s">
        <v>103</v>
      </c>
    </row>
  </sheetData>
  <sheetProtection sheet="1" objects="1" scenarios="1" selectLockedCells="1"/>
  <mergeCells count="16">
    <mergeCell ref="B41:C41"/>
    <mergeCell ref="B42:C42"/>
    <mergeCell ref="B36:C36"/>
    <mergeCell ref="B38:C38"/>
    <mergeCell ref="B39:C39"/>
    <mergeCell ref="C27:C28"/>
    <mergeCell ref="B37:C37"/>
    <mergeCell ref="A2:D2"/>
    <mergeCell ref="A1:D1"/>
    <mergeCell ref="B24:C24"/>
    <mergeCell ref="A5:E5"/>
    <mergeCell ref="B14:D14"/>
    <mergeCell ref="B15:C15"/>
    <mergeCell ref="B26:D26"/>
    <mergeCell ref="A4:C4"/>
    <mergeCell ref="A7:C7"/>
  </mergeCells>
  <dataValidations count="6">
    <dataValidation type="decimal" allowBlank="1" showInputMessage="1" showErrorMessage="1" errorTitle="Invalid date" error="Please do not extrapolate beyond the range of dates shown to the left of the cell" sqref="F36:F37">
      <formula1>MIN(G22,G34)-3</formula1>
      <formula2>MIN(G16,G28)+3</formula2>
    </dataValidation>
    <dataValidation type="decimal" allowBlank="1" showInputMessage="1" showErrorMessage="1" sqref="F41">
      <formula1>MIN(#REF!,I51)-3</formula1>
      <formula2>MAX(#REF!,I45)+3</formula2>
    </dataValidation>
    <dataValidation type="list" showErrorMessage="1" promptTitle="REMINDER" prompt="If you change either the FAMILY or the PATTERN of mortality, you MUST set the RECALCULATE option to FALSE, and then back to TRUE." sqref="F39">
      <formula1>IF(FamSelect=1,Princeton,UN)</formula1>
    </dataValidation>
    <dataValidation type="list" allowBlank="1" showInputMessage="1" showErrorMessage="1" promptTitle="REMINDER" prompt="If you change the FAMILY of the model life table, you MUST set the RECALCULATE option to FALSE, and then back to TRUE on the METHOD page." sqref="F38">
      <formula1>Family</formula1>
    </dataValidation>
    <dataValidation type="list" allowBlank="1" showInputMessage="1" showErrorMessage="1" sqref="F11">
      <formula1>Sex</formula1>
    </dataValidation>
    <dataValidation type="list" allowBlank="1" showInputMessage="1" showErrorMessage="1" sqref="F24">
      <formula1>Adultdata</formula1>
    </dataValidation>
  </dataValidations>
  <hyperlinks>
    <hyperlink ref="A5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Method!$T$41:$T$42</xm:f>
          </x14:formula1>
          <xm:sqref>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showGridLines="0" showRowColHeaders="0" workbookViewId="0">
      <selection activeCell="B24" sqref="B24"/>
    </sheetView>
  </sheetViews>
  <sheetFormatPr defaultRowHeight="15"/>
  <cols>
    <col min="1" max="1" width="9.140625" style="42"/>
    <col min="2" max="2" width="108.42578125" style="42" customWidth="1"/>
    <col min="3" max="16384" width="9.140625" style="42"/>
  </cols>
  <sheetData>
    <row r="1" spans="1:2" ht="15.75">
      <c r="A1" s="201" t="s">
        <v>85</v>
      </c>
      <c r="B1" s="202"/>
    </row>
    <row r="2" spans="1:2" ht="56.25" customHeight="1">
      <c r="B2" s="112" t="s">
        <v>98</v>
      </c>
    </row>
    <row r="3" spans="1:2" ht="15.75">
      <c r="B3" s="42" t="s">
        <v>91</v>
      </c>
    </row>
    <row r="4" spans="1:2">
      <c r="B4" s="42" t="s">
        <v>92</v>
      </c>
    </row>
    <row r="5" spans="1:2">
      <c r="B5" s="42" t="s">
        <v>96</v>
      </c>
    </row>
    <row r="6" spans="1:2">
      <c r="B6" s="42" t="s">
        <v>99</v>
      </c>
    </row>
    <row r="7" spans="1:2">
      <c r="B7" s="42" t="s">
        <v>100</v>
      </c>
    </row>
    <row r="9" spans="1:2" ht="45">
      <c r="B9" s="112" t="s">
        <v>93</v>
      </c>
    </row>
    <row r="11" spans="1:2" ht="15.75">
      <c r="A11" s="111" t="s">
        <v>86</v>
      </c>
    </row>
    <row r="12" spans="1:2">
      <c r="B12" s="42" t="s">
        <v>95</v>
      </c>
    </row>
    <row r="13" spans="1:2">
      <c r="B13" s="42" t="s">
        <v>97</v>
      </c>
    </row>
    <row r="14" spans="1:2" ht="15.75">
      <c r="B14" s="42" t="s">
        <v>94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zoomScaleNormal="100" workbookViewId="0">
      <selection activeCell="B5" sqref="B5"/>
    </sheetView>
  </sheetViews>
  <sheetFormatPr defaultRowHeight="15"/>
  <cols>
    <col min="1" max="3" width="8.42578125" style="138" customWidth="1"/>
    <col min="4" max="4" width="3.7109375" style="138" customWidth="1"/>
    <col min="5" max="16" width="9.140625" style="138"/>
    <col min="17" max="22" width="10.140625" style="138" customWidth="1"/>
    <col min="23" max="23" width="9.140625" style="138"/>
    <col min="24" max="24" width="12.85546875" style="138" bestFit="1" customWidth="1"/>
    <col min="25" max="25" width="4" style="138" customWidth="1"/>
    <col min="26" max="27" width="9.140625" style="138"/>
    <col min="28" max="28" width="4" style="138" customWidth="1"/>
    <col min="29" max="30" width="9.140625" style="138"/>
    <col min="31" max="31" width="2" style="138" customWidth="1"/>
    <col min="32" max="16384" width="9.140625" style="138"/>
  </cols>
  <sheetData>
    <row r="1" spans="1:35">
      <c r="A1" s="205" t="s">
        <v>120</v>
      </c>
      <c r="B1" s="206"/>
      <c r="C1" s="207"/>
    </row>
    <row r="2" spans="1:35" ht="16.5">
      <c r="A2" s="155" t="s">
        <v>66</v>
      </c>
      <c r="B2" s="143"/>
      <c r="C2" s="143"/>
      <c r="D2" s="156"/>
      <c r="AI2" s="152"/>
    </row>
    <row r="3" spans="1:35">
      <c r="A3" s="156"/>
      <c r="B3" s="156"/>
      <c r="C3" s="156"/>
      <c r="D3" s="156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</row>
    <row r="4" spans="1:35" ht="16.5">
      <c r="A4" s="162" t="s">
        <v>12</v>
      </c>
      <c r="B4" s="162" t="s">
        <v>47</v>
      </c>
      <c r="C4" s="162" t="s">
        <v>48</v>
      </c>
      <c r="D4" s="163"/>
      <c r="W4" s="203" t="s">
        <v>123</v>
      </c>
      <c r="X4" s="208"/>
      <c r="Y4" s="152"/>
      <c r="Z4" s="203" t="s">
        <v>68</v>
      </c>
      <c r="AA4" s="203"/>
      <c r="AB4" s="203"/>
      <c r="AC4" s="203"/>
      <c r="AD4" s="203"/>
      <c r="AE4" s="157"/>
      <c r="AF4" s="157"/>
      <c r="AG4" s="157"/>
      <c r="AH4" s="157"/>
      <c r="AI4" s="152"/>
    </row>
    <row r="5" spans="1:35" ht="16.5">
      <c r="A5" s="171">
        <v>1</v>
      </c>
      <c r="B5" s="77"/>
      <c r="C5" s="78"/>
      <c r="D5" s="172"/>
      <c r="W5" s="158" t="s">
        <v>122</v>
      </c>
      <c r="X5" s="159" t="s">
        <v>7</v>
      </c>
      <c r="Y5" s="160"/>
      <c r="Z5" s="204" t="s">
        <v>10</v>
      </c>
      <c r="AA5" s="204"/>
      <c r="AB5" s="161"/>
      <c r="AC5" s="204" t="s">
        <v>11</v>
      </c>
      <c r="AD5" s="204"/>
      <c r="AE5" s="157"/>
      <c r="AF5" s="157"/>
      <c r="AG5" s="157"/>
      <c r="AH5" s="157"/>
      <c r="AI5" s="152"/>
    </row>
    <row r="6" spans="1:35" ht="16.5">
      <c r="A6" s="171">
        <v>2</v>
      </c>
      <c r="B6" s="79">
        <v>1</v>
      </c>
      <c r="C6" s="72">
        <v>1</v>
      </c>
      <c r="D6" s="172"/>
      <c r="W6" s="164">
        <f ca="1">-0.5*LN((1-Method!C7)/Method!C7)-VLOOKUP(Method!B7,'Selected standard'!$B$5:$C$24,2)</f>
        <v>-0.43892471547391665</v>
      </c>
      <c r="X6" s="165">
        <f>Method!D7</f>
        <v>2001.71</v>
      </c>
      <c r="Y6" s="152"/>
      <c r="Z6" s="166" t="str">
        <f>IF('Alpha plots'!$B5=1,W6,"")</f>
        <v/>
      </c>
      <c r="AA6" s="166" t="str">
        <f>IF('Alpha plots'!$B5=1,X6,"")</f>
        <v/>
      </c>
      <c r="AB6" s="166"/>
      <c r="AC6" s="164" t="e">
        <f>IF('Alpha plots'!$B5=1,W6,NA())</f>
        <v>#N/A</v>
      </c>
      <c r="AD6" s="165" t="e">
        <f>IF('Alpha plots'!$B5=1,X6,NA())</f>
        <v>#N/A</v>
      </c>
      <c r="AE6" s="167"/>
      <c r="AF6" s="168" t="s">
        <v>62</v>
      </c>
      <c r="AG6" s="169">
        <f ca="1">SLOPE(Z6:Z12,AA6:AA12)</f>
        <v>-1.6096317467529878E-2</v>
      </c>
      <c r="AH6" s="170"/>
      <c r="AI6" s="152"/>
    </row>
    <row r="7" spans="1:35" ht="16.5">
      <c r="A7" s="171">
        <v>3</v>
      </c>
      <c r="B7" s="79">
        <v>1</v>
      </c>
      <c r="C7" s="72">
        <v>1</v>
      </c>
      <c r="D7" s="172"/>
      <c r="W7" s="164">
        <f ca="1">-0.5*LN((1-Method!C8)/Method!C8)-VLOOKUP(Method!B8,'Selected standard'!$B$5:$C$24,2)</f>
        <v>-0.45194193660477611</v>
      </c>
      <c r="X7" s="165">
        <f>Method!D8</f>
        <v>2000.24</v>
      </c>
      <c r="Y7" s="152"/>
      <c r="Z7" s="164">
        <f ca="1">IF('Alpha plots'!$B6=1,W7,"")</f>
        <v>-0.45194193660477611</v>
      </c>
      <c r="AA7" s="165">
        <f>IF('Alpha plots'!$B6=1,X7,"")</f>
        <v>2000.24</v>
      </c>
      <c r="AB7" s="166"/>
      <c r="AC7" s="164">
        <f ca="1">IF('Alpha plots'!$B6=1,W7,NA())</f>
        <v>-0.45194193660477611</v>
      </c>
      <c r="AD7" s="165">
        <f>IF('Alpha plots'!$B6=1,X7,NA())</f>
        <v>2000.24</v>
      </c>
      <c r="AE7" s="167"/>
      <c r="AF7" s="173" t="s">
        <v>63</v>
      </c>
      <c r="AG7" s="174">
        <f ca="1">INTERCEPT(Z6:Z12,AA6:AA12)</f>
        <v>31.65113224088925</v>
      </c>
      <c r="AH7" s="175"/>
      <c r="AI7" s="152"/>
    </row>
    <row r="8" spans="1:35" ht="16.5">
      <c r="A8" s="171">
        <v>4</v>
      </c>
      <c r="B8" s="79">
        <v>1</v>
      </c>
      <c r="C8" s="72">
        <v>1</v>
      </c>
      <c r="D8" s="172"/>
      <c r="W8" s="164">
        <f ca="1">-0.5*LN((1-Method!C9)/Method!C9)-VLOOKUP(Method!B9,'Selected standard'!$B$5:$C$24,2)</f>
        <v>-0.61122352852920647</v>
      </c>
      <c r="X8" s="165">
        <f>Method!D9</f>
        <v>1998.48</v>
      </c>
      <c r="Y8" s="152"/>
      <c r="Z8" s="164">
        <f ca="1">IF('Alpha plots'!$B7=1,W8,"")</f>
        <v>-0.61122352852920647</v>
      </c>
      <c r="AA8" s="165">
        <f>IF('Alpha plots'!$B7=1,X8,"")</f>
        <v>1998.48</v>
      </c>
      <c r="AB8" s="166"/>
      <c r="AC8" s="164">
        <f ca="1">IF('Alpha plots'!$B7=1,W8,NA())</f>
        <v>-0.61122352852920647</v>
      </c>
      <c r="AD8" s="165">
        <f>IF('Alpha plots'!$B7=1,X8,NA())</f>
        <v>1998.48</v>
      </c>
      <c r="AE8" s="167"/>
      <c r="AF8" s="173" t="s">
        <v>64</v>
      </c>
      <c r="AG8" s="176">
        <f>MIN(Introduction!$F$36-3,AA6:AA12)</f>
        <v>1987.99</v>
      </c>
      <c r="AH8" s="174">
        <f ca="1">$AG$7+$AG$6*AG8</f>
        <v>-0.34818592138547189</v>
      </c>
      <c r="AI8" s="152"/>
    </row>
    <row r="9" spans="1:35" ht="16.5">
      <c r="A9" s="171">
        <v>5</v>
      </c>
      <c r="B9" s="79">
        <v>1</v>
      </c>
      <c r="C9" s="72">
        <v>1</v>
      </c>
      <c r="D9" s="172"/>
      <c r="W9" s="164">
        <f ca="1">-0.5*LN((1-Method!C10)/Method!C10)-VLOOKUP(Method!B10,'Selected standard'!$B$5:$C$24,2)</f>
        <v>-0.52661307490261866</v>
      </c>
      <c r="X9" s="165">
        <f>Method!D10</f>
        <v>1996.43</v>
      </c>
      <c r="Y9" s="152"/>
      <c r="Z9" s="164">
        <f ca="1">IF('Alpha plots'!$B8=1,W9,"")</f>
        <v>-0.52661307490261866</v>
      </c>
      <c r="AA9" s="165">
        <f>IF('Alpha plots'!$B8=1,X9,"")</f>
        <v>1996.43</v>
      </c>
      <c r="AB9" s="166"/>
      <c r="AC9" s="164">
        <f ca="1">IF('Alpha plots'!$B8=1,W9,NA())</f>
        <v>-0.52661307490261866</v>
      </c>
      <c r="AD9" s="165">
        <f>IF('Alpha plots'!$B8=1,X9,NA())</f>
        <v>1996.43</v>
      </c>
      <c r="AE9" s="167"/>
      <c r="AF9" s="177" t="s">
        <v>65</v>
      </c>
      <c r="AG9" s="178">
        <f>MAX(Introduction!$F$36+3,AA6:AA12)</f>
        <v>2000.5</v>
      </c>
      <c r="AH9" s="179">
        <f ca="1">$AG$7+$AG$6*AG9</f>
        <v>-0.54955085290427164</v>
      </c>
      <c r="AI9" s="152"/>
    </row>
    <row r="10" spans="1:35" ht="16.5">
      <c r="A10" s="171">
        <v>6</v>
      </c>
      <c r="B10" s="79">
        <v>1</v>
      </c>
      <c r="C10" s="72">
        <v>1</v>
      </c>
      <c r="D10" s="172"/>
      <c r="W10" s="164">
        <f ca="1">-0.5*LN((1-Method!C11)/Method!C11)-VLOOKUP(Method!B11,'Selected standard'!$B$5:$C$24,2)</f>
        <v>-0.42876554959258539</v>
      </c>
      <c r="X10" s="165">
        <f>Method!D11</f>
        <v>1994.16</v>
      </c>
      <c r="Y10" s="152"/>
      <c r="Z10" s="164">
        <f ca="1">IF('Alpha plots'!$B9=1,W10,"")</f>
        <v>-0.42876554959258539</v>
      </c>
      <c r="AA10" s="165">
        <f>IF('Alpha plots'!$B9=1,X10,"")</f>
        <v>1994.16</v>
      </c>
      <c r="AB10" s="166"/>
      <c r="AC10" s="164">
        <f ca="1">IF('Alpha plots'!$B9=1,W10,NA())</f>
        <v>-0.42876554959258539</v>
      </c>
      <c r="AD10" s="165">
        <f>IF('Alpha plots'!$B9=1,X10,NA())</f>
        <v>1994.16</v>
      </c>
      <c r="AE10" s="167"/>
      <c r="AF10" s="167"/>
      <c r="AG10" s="167"/>
      <c r="AH10" s="167"/>
      <c r="AI10" s="152"/>
    </row>
    <row r="11" spans="1:35" ht="16.5">
      <c r="A11" s="181">
        <v>7</v>
      </c>
      <c r="B11" s="80">
        <v>1</v>
      </c>
      <c r="C11" s="73">
        <v>1</v>
      </c>
      <c r="D11" s="163"/>
      <c r="W11" s="164">
        <f ca="1">-0.5*LN((1-Method!C12)/Method!C12)-VLOOKUP(Method!B12,'Selected standard'!$B$5:$C$24,2)</f>
        <v>-0.38027068029734401</v>
      </c>
      <c r="X11" s="165">
        <f>Method!D12</f>
        <v>1991.52</v>
      </c>
      <c r="Y11" s="152"/>
      <c r="Z11" s="164">
        <f ca="1">IF('Alpha plots'!$B10=1,W11,"")</f>
        <v>-0.38027068029734401</v>
      </c>
      <c r="AA11" s="165">
        <f>IF('Alpha plots'!$B10=1,X11,"")</f>
        <v>1991.52</v>
      </c>
      <c r="AB11" s="166"/>
      <c r="AC11" s="164">
        <f ca="1">IF('Alpha plots'!$B10=1,W11,NA())</f>
        <v>-0.38027068029734401</v>
      </c>
      <c r="AD11" s="165">
        <f>IF('Alpha plots'!$B10=1,X11,NA())</f>
        <v>1991.52</v>
      </c>
      <c r="AE11" s="167"/>
      <c r="AF11" s="167"/>
      <c r="AG11" s="167"/>
      <c r="AH11" s="167"/>
      <c r="AI11" s="152"/>
    </row>
    <row r="12" spans="1:35">
      <c r="A12" s="156"/>
      <c r="B12" s="156"/>
      <c r="C12" s="156"/>
      <c r="D12" s="156"/>
      <c r="W12" s="179">
        <f ca="1">-0.5*LN((1-Method!C13)/Method!C13)-VLOOKUP(Method!B13,'Selected standard'!$B$5:$C$24,2)</f>
        <v>-0.34831821645892291</v>
      </c>
      <c r="X12" s="178">
        <f>Method!D13</f>
        <v>1987.99</v>
      </c>
      <c r="Y12" s="152"/>
      <c r="Z12" s="179">
        <f ca="1">IF('Alpha plots'!$B11=1,W12,"")</f>
        <v>-0.34831821645892291</v>
      </c>
      <c r="AA12" s="178">
        <f>IF('Alpha plots'!$B11=1,X12,"")</f>
        <v>1987.99</v>
      </c>
      <c r="AB12" s="180"/>
      <c r="AC12" s="179">
        <f ca="1">IF('Alpha plots'!$B11=1,W12,NA())</f>
        <v>-0.34831821645892291</v>
      </c>
      <c r="AD12" s="178">
        <f>IF('Alpha plots'!$B11=1,X12,NA())</f>
        <v>1987.99</v>
      </c>
      <c r="AE12" s="167"/>
      <c r="AF12" s="167"/>
      <c r="AG12" s="167"/>
      <c r="AH12" s="167"/>
      <c r="AI12" s="152"/>
    </row>
    <row r="13" spans="1:35"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1:35" ht="16.5">
      <c r="W14" s="203" t="s">
        <v>124</v>
      </c>
      <c r="X14" s="208"/>
      <c r="Y14" s="152"/>
      <c r="Z14" s="203" t="s">
        <v>67</v>
      </c>
      <c r="AA14" s="203"/>
      <c r="AB14" s="203"/>
      <c r="AC14" s="203"/>
      <c r="AD14" s="203"/>
      <c r="AE14" s="152"/>
      <c r="AF14" s="152"/>
      <c r="AG14" s="152"/>
      <c r="AH14" s="152"/>
      <c r="AI14" s="152"/>
    </row>
    <row r="15" spans="1:35" ht="16.5">
      <c r="W15" s="158" t="s">
        <v>122</v>
      </c>
      <c r="X15" s="159" t="s">
        <v>7</v>
      </c>
      <c r="Y15" s="160"/>
      <c r="Z15" s="159" t="s">
        <v>10</v>
      </c>
      <c r="AA15" s="159"/>
      <c r="AB15" s="182"/>
      <c r="AC15" s="159" t="s">
        <v>11</v>
      </c>
      <c r="AD15" s="159"/>
      <c r="AE15" s="152"/>
      <c r="AF15" s="152"/>
      <c r="AG15" s="152"/>
      <c r="AH15" s="152"/>
      <c r="AI15" s="152"/>
    </row>
    <row r="16" spans="1:35">
      <c r="W16" s="164">
        <f ca="1">0.5*(LN(1-Method!C18)-LN(Method!C18*EXP(2*VLOOKUP(Method!$U$44+Method!B18,'Selected standard'!$B$5:$C$24,2))-EXP(2*VLOOKUP(Method!$U$44,'Selected standard'!$B$5:$C$24,2))))</f>
        <v>-0.51757741644424593</v>
      </c>
      <c r="X16" s="165">
        <f>Method!D18</f>
        <v>1999.23</v>
      </c>
      <c r="Y16" s="152"/>
      <c r="Z16" s="164" t="str">
        <f>IF('Alpha plots'!$C5=1,W16,"")</f>
        <v/>
      </c>
      <c r="AA16" s="165" t="str">
        <f>IF('Alpha plots'!$C5=1,X16,"")</f>
        <v/>
      </c>
      <c r="AB16" s="166"/>
      <c r="AC16" s="164" t="e">
        <f>IF('Alpha plots'!$C5=1,W16,NA())</f>
        <v>#N/A</v>
      </c>
      <c r="AD16" s="165" t="e">
        <f>IF('Alpha plots'!$C5=1,X16,NA())</f>
        <v>#N/A</v>
      </c>
      <c r="AE16" s="152"/>
      <c r="AF16" s="168" t="s">
        <v>62</v>
      </c>
      <c r="AG16" s="169">
        <f ca="1">SLOPE(Z16:Z22,AA16:AA22)</f>
        <v>-2.88560529849681E-2</v>
      </c>
      <c r="AH16" s="170"/>
      <c r="AI16" s="152"/>
    </row>
    <row r="17" spans="4:35">
      <c r="W17" s="164">
        <f ca="1">0.5*(LN(1-Method!C19)-LN(Method!C19*EXP(2*VLOOKUP(Method!$U$44+Method!B19,'Selected standard'!$B$5:$C$24,2))-EXP(2*VLOOKUP(Method!$U$44,'Selected standard'!$B$5:$C$24,2))))</f>
        <v>-0.61829635060075305</v>
      </c>
      <c r="X17" s="165">
        <f>Method!D19</f>
        <v>1997.07</v>
      </c>
      <c r="Y17" s="152"/>
      <c r="Z17" s="164">
        <f ca="1">IF('Alpha plots'!$C6=1,W17,"")</f>
        <v>-0.61829635060075305</v>
      </c>
      <c r="AA17" s="165">
        <f>IF('Alpha plots'!$C6=1,X17,"")</f>
        <v>1997.07</v>
      </c>
      <c r="AB17" s="166"/>
      <c r="AC17" s="164">
        <f ca="1">IF('Alpha plots'!$C6=1,W17,NA())</f>
        <v>-0.61829635060075305</v>
      </c>
      <c r="AD17" s="165">
        <f>IF('Alpha plots'!$C6=1,X17,NA())</f>
        <v>1997.07</v>
      </c>
      <c r="AE17" s="152"/>
      <c r="AF17" s="173" t="s">
        <v>63</v>
      </c>
      <c r="AG17" s="174">
        <f ca="1">INTERCEPT(Z16:Z22,AA16:AA22)</f>
        <v>57.008215807136288</v>
      </c>
      <c r="AH17" s="175"/>
      <c r="AI17" s="152"/>
    </row>
    <row r="18" spans="4:35">
      <c r="W18" s="164">
        <f ca="1">0.5*(LN(1-Method!C20)-LN(Method!C20*EXP(2*VLOOKUP(Method!$U$44+Method!B20,'Selected standard'!$B$5:$C$24,2))-EXP(2*VLOOKUP(Method!$U$44,'Selected standard'!$B$5:$C$24,2))))</f>
        <v>-0.5778554779195908</v>
      </c>
      <c r="X18" s="165">
        <f>Method!D20</f>
        <v>1995.13</v>
      </c>
      <c r="Y18" s="152"/>
      <c r="Z18" s="164">
        <f ca="1">IF('Alpha plots'!$C7=1,W18,"")</f>
        <v>-0.5778554779195908</v>
      </c>
      <c r="AA18" s="165">
        <f>IF('Alpha plots'!$C7=1,X18,"")</f>
        <v>1995.13</v>
      </c>
      <c r="AB18" s="166"/>
      <c r="AC18" s="164">
        <f ca="1">IF('Alpha plots'!$C7=1,W18,NA())</f>
        <v>-0.5778554779195908</v>
      </c>
      <c r="AD18" s="165">
        <f>IF('Alpha plots'!$C7=1,X18,NA())</f>
        <v>1995.13</v>
      </c>
      <c r="AE18" s="152"/>
      <c r="AF18" s="173" t="s">
        <v>64</v>
      </c>
      <c r="AG18" s="176">
        <f>MIN(Introduction!$F$36-3,AA16:AA22)</f>
        <v>1990.51</v>
      </c>
      <c r="AH18" s="174">
        <f ca="1">$AG$17+$AG$16*AG18</f>
        <v>-0.4300462199725672</v>
      </c>
      <c r="AI18" s="152"/>
    </row>
    <row r="19" spans="4:35">
      <c r="W19" s="164">
        <f ca="1">0.5*(LN(1-Method!C21)-LN(Method!C21*EXP(2*VLOOKUP(Method!$U$44+Method!B21,'Selected standard'!$B$5:$C$24,2))-EXP(2*VLOOKUP(Method!$U$44,'Selected standard'!$B$5:$C$24,2))))</f>
        <v>-0.50210721967572192</v>
      </c>
      <c r="X19" s="165">
        <f>Method!D21</f>
        <v>1993.43</v>
      </c>
      <c r="Y19" s="152"/>
      <c r="Z19" s="164">
        <f ca="1">IF('Alpha plots'!$C8=1,W19,"")</f>
        <v>-0.50210721967572192</v>
      </c>
      <c r="AA19" s="165">
        <f>IF('Alpha plots'!$C8=1,X19,"")</f>
        <v>1993.43</v>
      </c>
      <c r="AB19" s="166"/>
      <c r="AC19" s="164">
        <f ca="1">IF('Alpha plots'!$C8=1,W19,NA())</f>
        <v>-0.50210721967572192</v>
      </c>
      <c r="AD19" s="165">
        <f>IF('Alpha plots'!$C8=1,X19,NA())</f>
        <v>1993.43</v>
      </c>
      <c r="AE19" s="152"/>
      <c r="AF19" s="177" t="s">
        <v>65</v>
      </c>
      <c r="AG19" s="178">
        <f>MAX(Introduction!$F$36+3,AA16:AA22)</f>
        <v>2000.5</v>
      </c>
      <c r="AH19" s="179">
        <f ca="1">$AG$17+$AG$16*AG19</f>
        <v>-0.71831818929239688</v>
      </c>
      <c r="AI19" s="152"/>
    </row>
    <row r="20" spans="4:35">
      <c r="W20" s="164">
        <f ca="1">0.5*(LN(1-Method!C22)-LN(Method!C22*EXP(2*VLOOKUP(Method!$U$44+Method!B22,'Selected standard'!$B$5:$C$24,2))-EXP(2*VLOOKUP(Method!$U$44,'Selected standard'!$B$5:$C$24,2))))</f>
        <v>-0.45671656936554661</v>
      </c>
      <c r="X20" s="165">
        <f>Method!D22</f>
        <v>1992.02</v>
      </c>
      <c r="Y20" s="152"/>
      <c r="Z20" s="164">
        <f ca="1">IF('Alpha plots'!$C9=1,W20,"")</f>
        <v>-0.45671656936554661</v>
      </c>
      <c r="AA20" s="165">
        <f>IF('Alpha plots'!$C9=1,X20,"")</f>
        <v>1992.02</v>
      </c>
      <c r="AB20" s="166"/>
      <c r="AC20" s="164">
        <f ca="1">IF('Alpha plots'!$C9=1,W20,NA())</f>
        <v>-0.45671656936554661</v>
      </c>
      <c r="AD20" s="165">
        <f>IF('Alpha plots'!$C9=1,X20,NA())</f>
        <v>1992.02</v>
      </c>
      <c r="AE20" s="152"/>
      <c r="AF20" s="152"/>
      <c r="AG20" s="152"/>
      <c r="AH20" s="152"/>
      <c r="AI20" s="152"/>
    </row>
    <row r="21" spans="4:35">
      <c r="W21" s="164">
        <f ca="1">0.5*(LN(1-Method!C23)-LN(Method!C23*EXP(2*VLOOKUP(Method!$U$44+Method!B23,'Selected standard'!$B$5:$C$24,2))-EXP(2*VLOOKUP(Method!$U$44,'Selected standard'!$B$5:$C$24,2))))</f>
        <v>-0.4463039314363505</v>
      </c>
      <c r="X21" s="165">
        <f>Method!D23</f>
        <v>1991</v>
      </c>
      <c r="Y21" s="152"/>
      <c r="Z21" s="164">
        <f ca="1">IF('Alpha plots'!$C10=1,W21,"")</f>
        <v>-0.4463039314363505</v>
      </c>
      <c r="AA21" s="165">
        <f>IF('Alpha plots'!$C10=1,X21,"")</f>
        <v>1991</v>
      </c>
      <c r="AB21" s="166"/>
      <c r="AC21" s="164">
        <f ca="1">IF('Alpha plots'!$C10=1,W21,NA())</f>
        <v>-0.4463039314363505</v>
      </c>
      <c r="AD21" s="165">
        <f>IF('Alpha plots'!$C10=1,X21,NA())</f>
        <v>1991</v>
      </c>
      <c r="AE21" s="152"/>
      <c r="AF21" s="152"/>
      <c r="AG21" s="152"/>
      <c r="AH21" s="152"/>
      <c r="AI21" s="152"/>
    </row>
    <row r="22" spans="4:35">
      <c r="W22" s="179">
        <f ca="1">0.5*(LN(1-Method!C24)-LN(Method!C24*EXP(2*VLOOKUP(Method!$U$44+Method!B24,'Selected standard'!$B$5:$C$24,2))-EXP(2*VLOOKUP(Method!$U$44,'Selected standard'!$B$5:$C$24,2))))</f>
        <v>-0.44358022389542218</v>
      </c>
      <c r="X22" s="178">
        <f>Method!D24</f>
        <v>1990.51</v>
      </c>
      <c r="Y22" s="152"/>
      <c r="Z22" s="179">
        <f ca="1">IF('Alpha plots'!$C11=1,W22,"")</f>
        <v>-0.44358022389542218</v>
      </c>
      <c r="AA22" s="178">
        <f>IF('Alpha plots'!$C11=1,X22,"")</f>
        <v>1990.51</v>
      </c>
      <c r="AB22" s="180"/>
      <c r="AC22" s="179">
        <f ca="1">IF('Alpha plots'!$C11=1,W22,NA())</f>
        <v>-0.44358022389542218</v>
      </c>
      <c r="AD22" s="178">
        <f>IF('Alpha plots'!$C11=1,X22,NA())</f>
        <v>1990.51</v>
      </c>
      <c r="AE22" s="152"/>
      <c r="AH22" s="152"/>
      <c r="AI22" s="152"/>
    </row>
    <row r="23" spans="4:35" ht="16.5">
      <c r="W23" s="152"/>
      <c r="X23" s="152"/>
      <c r="Y23" s="152"/>
      <c r="Z23" s="152"/>
      <c r="AA23" s="152"/>
      <c r="AB23" s="152"/>
      <c r="AC23" s="152"/>
      <c r="AD23" s="152"/>
      <c r="AE23" s="152"/>
      <c r="AF23" s="159" t="s">
        <v>52</v>
      </c>
      <c r="AG23" s="159"/>
      <c r="AH23" s="152"/>
      <c r="AI23" s="152"/>
    </row>
    <row r="24" spans="4:35" ht="16.5">
      <c r="W24" s="152"/>
      <c r="X24" s="152"/>
      <c r="Y24" s="152"/>
      <c r="Z24" s="152"/>
      <c r="AA24" s="152"/>
      <c r="AB24" s="152"/>
      <c r="AC24" s="152"/>
      <c r="AD24" s="152"/>
      <c r="AE24" s="157"/>
      <c r="AF24" s="175">
        <f>Introduction!$F$36</f>
        <v>1997.5</v>
      </c>
      <c r="AG24" s="174">
        <f ca="1">MIN(W6:W23,AH18:AH19)</f>
        <v>-0.71831818929239688</v>
      </c>
      <c r="AH24" s="157"/>
      <c r="AI24" s="152"/>
    </row>
    <row r="25" spans="4:35">
      <c r="AF25" s="180">
        <f>Introduction!$F$36</f>
        <v>1997.5</v>
      </c>
      <c r="AG25" s="179">
        <f ca="1">MAX(W6:W23,AH18:AH19)</f>
        <v>-0.34831821645892291</v>
      </c>
    </row>
    <row r="26" spans="4:35">
      <c r="D26" s="183"/>
    </row>
    <row r="27" spans="4:35">
      <c r="D27" s="183"/>
    </row>
    <row r="32" spans="4:35">
      <c r="D32" s="183" t="s">
        <v>121</v>
      </c>
    </row>
  </sheetData>
  <sheetProtection sheet="1" objects="1" scenarios="1" selectLockedCells="1"/>
  <mergeCells count="7">
    <mergeCell ref="Z14:AD14"/>
    <mergeCell ref="Z4:AD4"/>
    <mergeCell ref="AC5:AD5"/>
    <mergeCell ref="Z5:AA5"/>
    <mergeCell ref="A1:C1"/>
    <mergeCell ref="W14:X14"/>
    <mergeCell ref="W4:X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60"/>
  <sheetViews>
    <sheetView workbookViewId="0">
      <selection activeCell="B3" sqref="B3"/>
    </sheetView>
  </sheetViews>
  <sheetFormatPr defaultRowHeight="12.75"/>
  <cols>
    <col min="1" max="1" width="3.7109375" style="9" customWidth="1"/>
    <col min="2" max="2" width="6.7109375" style="9" customWidth="1"/>
    <col min="3" max="12" width="8.7109375" style="9" customWidth="1"/>
    <col min="13" max="13" width="9.140625" style="9" customWidth="1"/>
    <col min="14" max="14" width="3.7109375" style="9" customWidth="1"/>
    <col min="15" max="15" width="4.7109375" style="9" customWidth="1"/>
    <col min="16" max="17" width="12.42578125" style="9" customWidth="1"/>
    <col min="18" max="18" width="91" style="9" customWidth="1"/>
    <col min="19" max="19" width="33.5703125" style="9" customWidth="1"/>
    <col min="20" max="20" width="19.140625" style="9" customWidth="1"/>
    <col min="21" max="16384" width="9.140625" style="9"/>
  </cols>
  <sheetData>
    <row r="1" spans="1:21" ht="16.5">
      <c r="A1" s="23" t="s">
        <v>138</v>
      </c>
      <c r="O1" s="131"/>
      <c r="P1" s="81" t="s">
        <v>118</v>
      </c>
      <c r="Q1" s="82" t="s">
        <v>119</v>
      </c>
      <c r="S1" s="56" t="s">
        <v>41</v>
      </c>
      <c r="T1" s="56"/>
      <c r="U1" s="19">
        <f>MATCH(Introduction!F38,Family,0)</f>
        <v>2</v>
      </c>
    </row>
    <row r="2" spans="1:21" ht="16.5">
      <c r="A2" s="102" t="str">
        <f ca="1">IF(ISNA(G14),"Remember to reset the calculation by changing the 'Recalculate' option to FALSE and then back to TRUE",IF(Iterate=FALSE,"Set recalculate to TRUE",""))</f>
        <v>Remember to reset the calculation by changing the 'Recalculate' option to FALSE and then back to TRUE</v>
      </c>
      <c r="O2" s="132"/>
      <c r="P2" s="130">
        <f ca="1">Introduction!F36*'Alpha plots'!AG6+'Alpha plots'!AG7</f>
        <v>-0.50126190050167807</v>
      </c>
      <c r="Q2" s="133" t="e">
        <f ca="1">Introduction!$F$36*Method!$G$14+Method!$G$15</f>
        <v>#N/A</v>
      </c>
      <c r="S2" s="56"/>
      <c r="T2" s="57" t="s">
        <v>39</v>
      </c>
      <c r="U2" s="19"/>
    </row>
    <row r="3" spans="1:21" ht="16.5">
      <c r="B3" s="84" t="b">
        <v>1</v>
      </c>
      <c r="D3" s="120" t="s">
        <v>134</v>
      </c>
      <c r="O3" s="134"/>
      <c r="P3" s="33">
        <f ca="1">Introduction!F36*'Alpha plots'!AG16+'Alpha plots'!AG17</f>
        <v>-0.63175003033749277</v>
      </c>
      <c r="Q3" s="135" t="e">
        <f ca="1">Method!L26+Method!L25*Introduction!F36</f>
        <v>#N/A</v>
      </c>
      <c r="S3" s="56"/>
      <c r="T3" s="58" t="s">
        <v>42</v>
      </c>
      <c r="U3" s="19"/>
    </row>
    <row r="4" spans="1:21" ht="16.5">
      <c r="B4" s="24"/>
      <c r="C4" s="24"/>
      <c r="O4" s="45"/>
      <c r="P4" s="126" t="s">
        <v>50</v>
      </c>
      <c r="Q4" s="127" t="s">
        <v>51</v>
      </c>
      <c r="S4" s="56"/>
      <c r="T4" s="56"/>
      <c r="U4" s="19"/>
    </row>
    <row r="5" spans="1:21" ht="16.5">
      <c r="A5" s="23" t="str">
        <f>"Child mortality"&amp;" ("&amp;Introduction!F11&amp;")"</f>
        <v>Child mortality (Female)</v>
      </c>
      <c r="C5" s="43"/>
      <c r="D5" s="43"/>
      <c r="H5" s="21"/>
      <c r="O5" s="45"/>
      <c r="P5" s="126" t="str">
        <f ca="1">"α = "&amp;ROUND(AVERAGE(P2:P3),4)</f>
        <v>α = -0.5665</v>
      </c>
      <c r="Q5" s="127" t="e">
        <f ca="1">"α = "&amp;ROUND(Q2,4)</f>
        <v>#N/A</v>
      </c>
      <c r="S5" s="56" t="s">
        <v>43</v>
      </c>
      <c r="T5" s="56"/>
      <c r="U5" s="19">
        <f>MATCH(Introduction!F39,IF(U1=1,Princeton,UN),0)</f>
        <v>2</v>
      </c>
    </row>
    <row r="6" spans="1:21" ht="16.5">
      <c r="B6" s="49" t="s">
        <v>6</v>
      </c>
      <c r="C6" s="81" t="s">
        <v>104</v>
      </c>
      <c r="D6" s="81" t="s">
        <v>57</v>
      </c>
      <c r="E6" s="121" t="s">
        <v>105</v>
      </c>
      <c r="F6" s="121" t="s">
        <v>106</v>
      </c>
      <c r="G6" s="122"/>
      <c r="O6" s="46" t="s">
        <v>49</v>
      </c>
      <c r="P6" s="128" t="str">
        <f>"β =1 "</f>
        <v xml:space="preserve">β =1 </v>
      </c>
      <c r="Q6" s="129" t="e">
        <f ca="1">"β = "&amp;ROUND(Q3,4)</f>
        <v>#N/A</v>
      </c>
      <c r="S6" s="56"/>
      <c r="T6" s="57" t="s">
        <v>0</v>
      </c>
      <c r="U6" s="19"/>
    </row>
    <row r="7" spans="1:21" ht="16.5">
      <c r="B7" s="47">
        <v>1</v>
      </c>
      <c r="C7" s="26">
        <f>Introduction!F16</f>
        <v>3.3799999999999997E-2</v>
      </c>
      <c r="D7" s="75">
        <f>Introduction!G16</f>
        <v>2001.71</v>
      </c>
      <c r="E7" s="26" t="e">
        <f t="shared" ref="E7:E13" ca="1" si="0">IF(Iterate,$L$26+$L$25*D7,1)</f>
        <v>#N/A</v>
      </c>
      <c r="F7" s="27" t="e">
        <f ca="1">-0.5*LN((1-C7)/C7)-E7*VLOOKUP(B7,'Selected standard'!$B$5:$C$24,2)</f>
        <v>#N/A</v>
      </c>
      <c r="G7" s="27"/>
      <c r="O7" s="50">
        <v>0</v>
      </c>
      <c r="P7" s="35">
        <v>1</v>
      </c>
      <c r="Q7" s="36">
        <v>1</v>
      </c>
      <c r="S7" s="56"/>
      <c r="T7" s="59" t="s">
        <v>1</v>
      </c>
      <c r="U7" s="19"/>
    </row>
    <row r="8" spans="1:21" ht="16.5">
      <c r="B8" s="47">
        <v>2</v>
      </c>
      <c r="C8" s="26">
        <f>Introduction!F17</f>
        <v>4.2900000000000001E-2</v>
      </c>
      <c r="D8" s="75">
        <f>Introduction!G17</f>
        <v>2000.24</v>
      </c>
      <c r="E8" s="26" t="e">
        <f t="shared" ca="1" si="0"/>
        <v>#N/A</v>
      </c>
      <c r="F8" s="27" t="e">
        <f ca="1">-0.5*LN((1-C8)/C8)-E8*VLOOKUP(B8,'Selected standard'!$B$5:$C$24,2)</f>
        <v>#N/A</v>
      </c>
      <c r="G8" s="27" t="e">
        <f ca="1">IF('Alpha plots'!$B6=1,F8,"")</f>
        <v>#N/A</v>
      </c>
      <c r="O8" s="50">
        <v>1</v>
      </c>
      <c r="P8" s="35">
        <f ca="1">(1+EXP(2*(AVERAGE($P$2:$P$3)+'Selected standard'!C5)))^-1</f>
        <v>0.9736112046742148</v>
      </c>
      <c r="Q8" s="36" t="e">
        <f ca="1">(1+EXP(2*($Q$2+$Q$3*'Selected standard'!C5)))^-1</f>
        <v>#N/A</v>
      </c>
      <c r="S8" s="56"/>
      <c r="T8" s="59" t="s">
        <v>2</v>
      </c>
      <c r="U8" s="19"/>
    </row>
    <row r="9" spans="1:21" ht="16.5">
      <c r="B9" s="47">
        <v>3</v>
      </c>
      <c r="C9" s="26">
        <f>Introduction!F18</f>
        <v>3.5499999999999997E-2</v>
      </c>
      <c r="D9" s="75">
        <f>Introduction!G18</f>
        <v>1998.48</v>
      </c>
      <c r="E9" s="26" t="e">
        <f t="shared" ca="1" si="0"/>
        <v>#N/A</v>
      </c>
      <c r="F9" s="27" t="e">
        <f ca="1">-0.5*LN((1-C9)/C9)-E9*VLOOKUP(B9,'Selected standard'!$B$5:$C$24,2)</f>
        <v>#N/A</v>
      </c>
      <c r="G9" s="27" t="e">
        <f ca="1">IF('Alpha plots'!$B7=1,F9,"")</f>
        <v>#N/A</v>
      </c>
      <c r="O9" s="50">
        <v>2</v>
      </c>
      <c r="P9" s="35">
        <f ca="1">(1+EXP(2*(AVERAGE($P$2:$P$3)+'Selected standard'!C6)))^-1</f>
        <v>0.9655824242514226</v>
      </c>
      <c r="Q9" s="36" t="e">
        <f ca="1">(1+EXP(2*($Q$2+$Q$3*'Selected standard'!C6)))^-1</f>
        <v>#N/A</v>
      </c>
      <c r="S9" s="56"/>
      <c r="T9" s="59" t="s">
        <v>3</v>
      </c>
      <c r="U9" s="19"/>
    </row>
    <row r="10" spans="1:21" ht="16.5">
      <c r="B10" s="47">
        <v>5</v>
      </c>
      <c r="C10" s="26">
        <f>Introduction!F19</f>
        <v>4.6699999999999998E-2</v>
      </c>
      <c r="D10" s="75">
        <f>Introduction!G19</f>
        <v>1996.43</v>
      </c>
      <c r="E10" s="26" t="e">
        <f t="shared" ca="1" si="0"/>
        <v>#N/A</v>
      </c>
      <c r="F10" s="27" t="e">
        <f ca="1">-0.5*LN((1-C10)/C10)-E10*VLOOKUP(B10,'Selected standard'!$B$5:$C$24,2)</f>
        <v>#N/A</v>
      </c>
      <c r="G10" s="27" t="e">
        <f ca="1">IF('Alpha plots'!$B8=1,F10,"")</f>
        <v>#N/A</v>
      </c>
      <c r="J10" s="22"/>
      <c r="O10" s="50">
        <v>3</v>
      </c>
      <c r="P10" s="35">
        <f ca="1">(1+EXP(2*(AVERAGE($P$2:$P$3)+'Selected standard'!C7)))^-1</f>
        <v>0.96130725657305538</v>
      </c>
      <c r="Q10" s="36" t="e">
        <f ca="1">(1+EXP(2*($Q$2+$Q$3*'Selected standard'!C7)))^-1</f>
        <v>#N/A</v>
      </c>
      <c r="S10" s="56"/>
      <c r="T10" s="57" t="s">
        <v>45</v>
      </c>
      <c r="U10" s="19"/>
    </row>
    <row r="11" spans="1:21" ht="16.5">
      <c r="B11" s="47">
        <v>10</v>
      </c>
      <c r="C11" s="26">
        <f>Introduction!F20</f>
        <v>6.1899999999999997E-2</v>
      </c>
      <c r="D11" s="75">
        <f>Introduction!G20</f>
        <v>1994.16</v>
      </c>
      <c r="E11" s="26" t="e">
        <f t="shared" ca="1" si="0"/>
        <v>#N/A</v>
      </c>
      <c r="F11" s="27" t="e">
        <f ca="1">-0.5*LN((1-C11)/C11)-E11*VLOOKUP(B11,'Selected standard'!$B$5:$C$24,2)</f>
        <v>#N/A</v>
      </c>
      <c r="G11" s="27" t="e">
        <f ca="1">IF('Alpha plots'!$B9=1,F11,"")</f>
        <v>#N/A</v>
      </c>
      <c r="J11" s="22"/>
      <c r="O11" s="50">
        <v>4</v>
      </c>
      <c r="P11" s="35">
        <f ca="1">(1+EXP(2*(AVERAGE($P$2:$P$3)+'Selected standard'!C8)))^-1</f>
        <v>0.95860340201819105</v>
      </c>
      <c r="Q11" s="36" t="e">
        <f ca="1">(1+EXP(2*($Q$2+$Q$3*'Selected standard'!C8)))^-1</f>
        <v>#N/A</v>
      </c>
      <c r="S11" s="56"/>
      <c r="T11" s="59" t="s">
        <v>73</v>
      </c>
      <c r="U11" s="19"/>
    </row>
    <row r="12" spans="1:21" ht="16.5">
      <c r="B12" s="47">
        <v>15</v>
      </c>
      <c r="C12" s="26">
        <f>Introduction!F21</f>
        <v>7.0999999999999994E-2</v>
      </c>
      <c r="D12" s="75">
        <f>Introduction!G21</f>
        <v>1991.52</v>
      </c>
      <c r="E12" s="26" t="e">
        <f t="shared" ca="1" si="0"/>
        <v>#N/A</v>
      </c>
      <c r="F12" s="27" t="e">
        <f ca="1">-0.5*LN((1-C12)/C12)-E12*VLOOKUP(B12,'Selected standard'!$B$5:$C$24,2)</f>
        <v>#N/A</v>
      </c>
      <c r="G12" s="27" t="e">
        <f ca="1">IF('Alpha plots'!$B10=1,F12,"")</f>
        <v>#N/A</v>
      </c>
      <c r="J12" s="22"/>
      <c r="O12" s="50">
        <v>5</v>
      </c>
      <c r="P12" s="35">
        <f ca="1">(1+EXP(2*(AVERAGE($P$2:$P$3)+'Selected standard'!C9)))^-1</f>
        <v>0.9567262574973342</v>
      </c>
      <c r="Q12" s="36" t="e">
        <f ca="1">(1+EXP(2*($Q$2+$Q$3*'Selected standard'!C9)))^-1</f>
        <v>#N/A</v>
      </c>
      <c r="S12" s="56"/>
      <c r="T12" s="59" t="s">
        <v>74</v>
      </c>
      <c r="U12" s="19"/>
    </row>
    <row r="13" spans="1:21" ht="16.5">
      <c r="B13" s="48">
        <v>20</v>
      </c>
      <c r="C13" s="31">
        <f>Introduction!F22</f>
        <v>7.9899999999999999E-2</v>
      </c>
      <c r="D13" s="76">
        <f>Introduction!G22</f>
        <v>1987.99</v>
      </c>
      <c r="E13" s="31" t="e">
        <f t="shared" ca="1" si="0"/>
        <v>#N/A</v>
      </c>
      <c r="F13" s="33" t="e">
        <f ca="1">-0.5*LN((1-C13)/C13)-E13*VLOOKUP(B13,'Selected standard'!$B$5:$C$24,2)</f>
        <v>#N/A</v>
      </c>
      <c r="G13" s="33" t="e">
        <f ca="1">IF('Alpha plots'!$B11=1,F13,"")</f>
        <v>#N/A</v>
      </c>
      <c r="J13" s="22"/>
      <c r="O13" s="50">
        <v>10</v>
      </c>
      <c r="P13" s="35">
        <f ca="1">(1+EXP(2*(AVERAGE($P$2:$P$3)+'Selected standard'!C10)))^-1</f>
        <v>0.95229402592234569</v>
      </c>
      <c r="Q13" s="36" t="e">
        <f ca="1">(1+EXP(2*($Q$2+$Q$3*'Selected standard'!C10)))^-1</f>
        <v>#N/A</v>
      </c>
      <c r="S13" s="56"/>
      <c r="T13" s="59" t="s">
        <v>44</v>
      </c>
      <c r="U13" s="19"/>
    </row>
    <row r="14" spans="1:21" ht="16.5">
      <c r="C14"/>
      <c r="D14"/>
      <c r="F14" s="124" t="s">
        <v>62</v>
      </c>
      <c r="G14" s="27" t="e">
        <f ca="1">SLOPE(G7:G13,D7:D13)</f>
        <v>#N/A</v>
      </c>
      <c r="J14" s="22"/>
      <c r="O14" s="50">
        <v>15</v>
      </c>
      <c r="P14" s="35">
        <f ca="1">(1+EXP(2*(AVERAGE($P$2:$P$3)+'Selected standard'!C11)))^-1</f>
        <v>0.94997436528701229</v>
      </c>
      <c r="Q14" s="36" t="e">
        <f ca="1">(1+EXP(2*($Q$2+$Q$3*'Selected standard'!C11)))^-1</f>
        <v>#N/A</v>
      </c>
      <c r="S14" s="56"/>
      <c r="T14" s="58" t="s">
        <v>75</v>
      </c>
      <c r="U14" s="19"/>
    </row>
    <row r="15" spans="1:21" ht="16.5">
      <c r="C15"/>
      <c r="D15"/>
      <c r="F15" s="124" t="s">
        <v>63</v>
      </c>
      <c r="G15" s="27" t="e">
        <f ca="1">INTERCEPT(G7:G13,D7:D13)</f>
        <v>#N/A</v>
      </c>
      <c r="J15" s="22"/>
      <c r="O15" s="50">
        <v>20</v>
      </c>
      <c r="P15" s="35">
        <f ca="1">(1+EXP(2*(AVERAGE($P$2:$P$3)+'Selected standard'!C12)))^-1</f>
        <v>0.94685299043882554</v>
      </c>
      <c r="Q15" s="36" t="e">
        <f ca="1">(1+EXP(2*($Q$2+$Q$3*'Selected standard'!C12)))^-1</f>
        <v>#N/A</v>
      </c>
      <c r="S15" s="56"/>
      <c r="T15" s="56"/>
      <c r="U15" s="19"/>
    </row>
    <row r="16" spans="1:21" ht="16.5">
      <c r="A16" s="23" t="str">
        <f>"Adult mortality"&amp;" ("&amp;Introduction!F11&amp;")"</f>
        <v>Adult mortality (Female)</v>
      </c>
      <c r="C16"/>
      <c r="D16"/>
      <c r="O16" s="50">
        <v>25</v>
      </c>
      <c r="P16" s="35">
        <f ca="1">(1+EXP(2*(AVERAGE($P$2:$P$3)+'Selected standard'!C13)))^-1</f>
        <v>0.94243781385699632</v>
      </c>
      <c r="Q16" s="36" t="e">
        <f ca="1">(1+EXP(2*($Q$2+$Q$3*'Selected standard'!C13)))^-1</f>
        <v>#N/A</v>
      </c>
      <c r="S16" s="56" t="s">
        <v>13</v>
      </c>
      <c r="T16" s="56"/>
      <c r="U16" s="19">
        <f>MATCH(Introduction!F11,Sex,0)</f>
        <v>2</v>
      </c>
    </row>
    <row r="17" spans="2:22" ht="16.5">
      <c r="B17" s="49" t="s">
        <v>9</v>
      </c>
      <c r="C17" s="121" t="str">
        <f>"np"&amp;Method!U44</f>
        <v>np25</v>
      </c>
      <c r="D17" s="121" t="s">
        <v>57</v>
      </c>
      <c r="E17" s="121" t="s">
        <v>105</v>
      </c>
      <c r="F17" s="121" t="s">
        <v>107</v>
      </c>
      <c r="G17" s="121" t="s">
        <v>108</v>
      </c>
      <c r="H17" s="121" t="s">
        <v>109</v>
      </c>
      <c r="I17" s="121" t="s">
        <v>110</v>
      </c>
      <c r="J17" s="121" t="s">
        <v>111</v>
      </c>
      <c r="K17" s="209" t="s">
        <v>112</v>
      </c>
      <c r="L17" s="210"/>
      <c r="M17" s="123" t="s">
        <v>61</v>
      </c>
      <c r="O17" s="50">
        <v>30</v>
      </c>
      <c r="P17" s="35">
        <f ca="1">(1+EXP(2*(AVERAGE($P$2:$P$3)+'Selected standard'!C14)))^-1</f>
        <v>0.93694938172238462</v>
      </c>
      <c r="Q17" s="36" t="e">
        <f ca="1">(1+EXP(2*($Q$2+$Q$3*'Selected standard'!C14)))^-1</f>
        <v>#N/A</v>
      </c>
      <c r="S17" s="56"/>
      <c r="T17" s="57" t="s">
        <v>14</v>
      </c>
      <c r="U17" s="19"/>
    </row>
    <row r="18" spans="2:22" ht="16.5">
      <c r="B18" s="47">
        <f>IF(Method!U40=1,10,5)</f>
        <v>10</v>
      </c>
      <c r="C18" s="26">
        <f>Introduction!F28</f>
        <v>0.98580000000000001</v>
      </c>
      <c r="D18" s="75">
        <f>Introduction!G28</f>
        <v>1999.23</v>
      </c>
      <c r="E18" s="26" t="e">
        <f t="shared" ref="E18:E24" ca="1" si="1">IF(Iterate,$L$26+$L$25*D18,1)</f>
        <v>#N/A</v>
      </c>
      <c r="F18" s="25" t="e">
        <f ca="1">0.5*(LN(1-C18)-LN(C18*EXP(2*E18*VLOOKUP(Method!$U$44+B18,'Selected standard'!$B$5:$C$24,2))-EXP(2*E18*VLOOKUP(Method!$U$44,'Selected standard'!$B$5:$C$24,2))))</f>
        <v>#N/A</v>
      </c>
      <c r="G18" s="27" t="e">
        <f ca="1">$G$15+$G$14*Method!D18+E18*VLOOKUP(15,'Selected standard'!$B$5:$C$24,2)</f>
        <v>#N/A</v>
      </c>
      <c r="H18" s="27" t="e">
        <f t="shared" ref="H18:H24" ca="1" si="2">1/(1+EXP(2*G18))</f>
        <v>#N/A</v>
      </c>
      <c r="I18" s="27" t="e">
        <f ca="1">(1+EXP(2*(F18+E18*VLOOKUP(15,'Selected standard'!$B$5:$C$24,2))))/((1+EXP(2*(F18+E18*VLOOKUP(60,'Selected standard'!$B$5:$C$24,2)))))</f>
        <v>#N/A</v>
      </c>
      <c r="J18" s="27" t="e">
        <f t="shared" ref="J18:J24" ca="1" si="3">-0.5*LN(H18*I18/(1-H18*I18))</f>
        <v>#N/A</v>
      </c>
      <c r="K18" s="27" t="e">
        <f ca="1">(J18-G18)/(VLOOKUP(60,'Selected standard'!$B$5:$C$24,2)-VLOOKUP(15,'Selected standard'!$B$5:$C$24,2))</f>
        <v>#N/A</v>
      </c>
      <c r="L18" s="27" t="str">
        <f>IF('Alpha plots'!C5=1,K18,"")</f>
        <v/>
      </c>
      <c r="M18" s="29">
        <f t="shared" ref="M18" si="4">IF(L18="",0,(E18-L18)^2)</f>
        <v>0</v>
      </c>
      <c r="O18" s="50">
        <v>35</v>
      </c>
      <c r="P18" s="35">
        <f ca="1">(1+EXP(2*(AVERAGE($P$2:$P$3)+'Selected standard'!C15)))^-1</f>
        <v>0.9302156855822763</v>
      </c>
      <c r="Q18" s="36" t="e">
        <f ca="1">(1+EXP(2*($Q$2+$Q$3*'Selected standard'!C15)))^-1</f>
        <v>#N/A</v>
      </c>
      <c r="S18" s="56"/>
      <c r="T18" s="58" t="s">
        <v>15</v>
      </c>
      <c r="U18" s="19"/>
    </row>
    <row r="19" spans="2:22" ht="16.5">
      <c r="B19" s="47">
        <f t="shared" ref="B19:B24" si="5">B18+5</f>
        <v>15</v>
      </c>
      <c r="C19" s="26">
        <f>Introduction!F29</f>
        <v>0.98009999999999997</v>
      </c>
      <c r="D19" s="75">
        <f>Introduction!G29</f>
        <v>1997.07</v>
      </c>
      <c r="E19" s="26" t="e">
        <f t="shared" ca="1" si="1"/>
        <v>#N/A</v>
      </c>
      <c r="F19" s="25" t="e">
        <f ca="1">0.5*(LN(1-C19)-LN(C19*EXP(2*E19*VLOOKUP(Method!$U$44+B19,'Selected standard'!$B$5:$C$24,2))-EXP(2*E19*VLOOKUP(Method!$U$44,'Selected standard'!$B$5:$C$24,2))))</f>
        <v>#N/A</v>
      </c>
      <c r="G19" s="27" t="e">
        <f ca="1">$G$15+$G$14*Method!D19+E19*VLOOKUP(15,'Selected standard'!$B$5:$C$24,2)</f>
        <v>#N/A</v>
      </c>
      <c r="H19" s="27" t="e">
        <f t="shared" ca="1" si="2"/>
        <v>#N/A</v>
      </c>
      <c r="I19" s="27" t="e">
        <f ca="1">(1+EXP(2*(F19+E19*VLOOKUP(15,'Selected standard'!$B$5:$C$24,2))))/((1+EXP(2*(F19+E19*VLOOKUP(60,'Selected standard'!$B$5:$C$24,2)))))</f>
        <v>#N/A</v>
      </c>
      <c r="J19" s="27" t="e">
        <f t="shared" ca="1" si="3"/>
        <v>#N/A</v>
      </c>
      <c r="K19" s="27" t="e">
        <f ca="1">(J19-G19)/(VLOOKUP(60,'Selected standard'!$B$5:$C$24,2)-VLOOKUP(15,'Selected standard'!$B$5:$C$24,2))</f>
        <v>#N/A</v>
      </c>
      <c r="L19" s="27" t="e">
        <f ca="1">IF('Alpha plots'!C6=1,K19,"")</f>
        <v>#N/A</v>
      </c>
      <c r="M19" s="29" t="e">
        <f t="shared" ref="M19:M24" ca="1" si="6">IF(L19="",0,(E19-L19)^2)</f>
        <v>#N/A</v>
      </c>
      <c r="O19" s="50">
        <v>40</v>
      </c>
      <c r="P19" s="35">
        <f ca="1">(1+EXP(2*(AVERAGE($P$2:$P$3)+'Selected standard'!C16)))^-1</f>
        <v>0.92179658584983737</v>
      </c>
      <c r="Q19" s="36" t="e">
        <f ca="1">(1+EXP(2*($Q$2+$Q$3*'Selected standard'!C16)))^-1</f>
        <v>#N/A</v>
      </c>
      <c r="S19" s="56"/>
      <c r="T19" s="56"/>
      <c r="U19" s="19"/>
    </row>
    <row r="20" spans="2:22" ht="16.5">
      <c r="B20" s="47">
        <f t="shared" si="5"/>
        <v>20</v>
      </c>
      <c r="C20" s="26">
        <f>Introduction!F30</f>
        <v>0.96799999999999997</v>
      </c>
      <c r="D20" s="75">
        <f>Introduction!G30</f>
        <v>1995.13</v>
      </c>
      <c r="E20" s="26" t="e">
        <f t="shared" ca="1" si="1"/>
        <v>#N/A</v>
      </c>
      <c r="F20" s="25" t="e">
        <f ca="1">0.5*(LN(1-C20)-LN(C20*EXP(2*E20*VLOOKUP(Method!$U$44+B20,'Selected standard'!$B$5:$C$24,2))-EXP(2*E20*VLOOKUP(Method!$U$44,'Selected standard'!$B$5:$C$24,2))))</f>
        <v>#N/A</v>
      </c>
      <c r="G20" s="27" t="e">
        <f ca="1">$G$15+$G$14*Method!D20+E20*VLOOKUP(15,'Selected standard'!$B$5:$C$24,2)</f>
        <v>#N/A</v>
      </c>
      <c r="H20" s="27" t="e">
        <f t="shared" ca="1" si="2"/>
        <v>#N/A</v>
      </c>
      <c r="I20" s="27" t="e">
        <f ca="1">(1+EXP(2*(F20+E20*VLOOKUP(15,'Selected standard'!$B$5:$C$24,2))))/((1+EXP(2*(F20+E20*VLOOKUP(60,'Selected standard'!$B$5:$C$24,2)))))</f>
        <v>#N/A</v>
      </c>
      <c r="J20" s="27" t="e">
        <f t="shared" ca="1" si="3"/>
        <v>#N/A</v>
      </c>
      <c r="K20" s="27" t="e">
        <f ca="1">(J20-G20)/(VLOOKUP(60,'Selected standard'!$B$5:$C$24,2)-VLOOKUP(15,'Selected standard'!$B$5:$C$24,2))</f>
        <v>#N/A</v>
      </c>
      <c r="L20" s="27" t="e">
        <f ca="1">IF('Alpha plots'!C7=1,K20,"")</f>
        <v>#N/A</v>
      </c>
      <c r="M20" s="29" t="e">
        <f t="shared" ca="1" si="6"/>
        <v>#N/A</v>
      </c>
      <c r="O20" s="50">
        <v>45</v>
      </c>
      <c r="P20" s="35">
        <f ca="1">(1+EXP(2*(AVERAGE($P$2:$P$3)+'Selected standard'!C17)))^-1</f>
        <v>0.91164859114869634</v>
      </c>
      <c r="Q20" s="36" t="e">
        <f ca="1">(1+EXP(2*($Q$2+$Q$3*'Selected standard'!C17)))^-1</f>
        <v>#N/A</v>
      </c>
      <c r="S20" s="56" t="s">
        <v>46</v>
      </c>
      <c r="T20" s="56"/>
      <c r="U20" s="20" t="str">
        <f>"_"&amp;VLOOKUP(100*U1+10*U5+U16,$T$21:$T$38,1,FALSE)</f>
        <v>_222</v>
      </c>
    </row>
    <row r="21" spans="2:22" ht="16.5">
      <c r="B21" s="47">
        <f t="shared" si="5"/>
        <v>25</v>
      </c>
      <c r="C21" s="26">
        <f>Introduction!F31</f>
        <v>0.94789999999999996</v>
      </c>
      <c r="D21" s="75">
        <f>Introduction!G31</f>
        <v>1993.43</v>
      </c>
      <c r="E21" s="26" t="e">
        <f t="shared" ca="1" si="1"/>
        <v>#N/A</v>
      </c>
      <c r="F21" s="25" t="e">
        <f ca="1">0.5*(LN(1-C21)-LN(C21*EXP(2*E21*VLOOKUP(Method!$U$44+B21,'Selected standard'!$B$5:$C$24,2))-EXP(2*E21*VLOOKUP(Method!$U$44,'Selected standard'!$B$5:$C$24,2))))</f>
        <v>#N/A</v>
      </c>
      <c r="G21" s="27" t="e">
        <f ca="1">$G$15+$G$14*Method!D21+E21*VLOOKUP(15,'Selected standard'!$B$5:$C$24,2)</f>
        <v>#N/A</v>
      </c>
      <c r="H21" s="27" t="e">
        <f t="shared" ca="1" si="2"/>
        <v>#N/A</v>
      </c>
      <c r="I21" s="27" t="e">
        <f ca="1">(1+EXP(2*(F21+E21*VLOOKUP(15,'Selected standard'!$B$5:$C$24,2))))/((1+EXP(2*(F21+E21*VLOOKUP(60,'Selected standard'!$B$5:$C$24,2)))))</f>
        <v>#N/A</v>
      </c>
      <c r="J21" s="27" t="e">
        <f t="shared" ca="1" si="3"/>
        <v>#N/A</v>
      </c>
      <c r="K21" s="27" t="e">
        <f ca="1">(J21-G21)/(VLOOKUP(60,'Selected standard'!$B$5:$C$24,2)-VLOOKUP(15,'Selected standard'!$B$5:$C$24,2))</f>
        <v>#N/A</v>
      </c>
      <c r="L21" s="27" t="e">
        <f ca="1">IF('Alpha plots'!C8=1,K21,"")</f>
        <v>#N/A</v>
      </c>
      <c r="M21" s="29" t="e">
        <f t="shared" ca="1" si="6"/>
        <v>#N/A</v>
      </c>
      <c r="O21" s="50">
        <v>50</v>
      </c>
      <c r="P21" s="35">
        <f ca="1">(1+EXP(2*(AVERAGE($P$2:$P$3)+'Selected standard'!C18)))^-1</f>
        <v>0.89866929137061013</v>
      </c>
      <c r="Q21" s="36" t="e">
        <f ca="1">(1+EXP(2*($Q$2+$Q$3*'Selected standard'!C18)))^-1</f>
        <v>#N/A</v>
      </c>
      <c r="S21" s="52"/>
      <c r="T21" s="53">
        <v>111</v>
      </c>
      <c r="U21" s="19">
        <v>2</v>
      </c>
    </row>
    <row r="22" spans="2:22" ht="16.5">
      <c r="B22" s="47">
        <f t="shared" si="5"/>
        <v>30</v>
      </c>
      <c r="C22" s="26">
        <f>Introduction!F32</f>
        <v>0.9214</v>
      </c>
      <c r="D22" s="75">
        <f>Introduction!G32</f>
        <v>1992.02</v>
      </c>
      <c r="E22" s="26" t="e">
        <f t="shared" ca="1" si="1"/>
        <v>#N/A</v>
      </c>
      <c r="F22" s="25" t="e">
        <f ca="1">0.5*(LN(1-C22)-LN(C22*EXP(2*E22*VLOOKUP(Method!$U$44+B22,'Selected standard'!$B$5:$C$24,2))-EXP(2*E22*VLOOKUP(Method!$U$44,'Selected standard'!$B$5:$C$24,2))))</f>
        <v>#N/A</v>
      </c>
      <c r="G22" s="27" t="e">
        <f ca="1">$G$15+$G$14*Method!D22+E22*VLOOKUP(15,'Selected standard'!$B$5:$C$24,2)</f>
        <v>#N/A</v>
      </c>
      <c r="H22" s="27" t="e">
        <f t="shared" ca="1" si="2"/>
        <v>#N/A</v>
      </c>
      <c r="I22" s="27" t="e">
        <f ca="1">(1+EXP(2*(F22+E22*VLOOKUP(15,'Selected standard'!$B$5:$C$24,2))))/((1+EXP(2*(F22+E22*VLOOKUP(60,'Selected standard'!$B$5:$C$24,2)))))</f>
        <v>#N/A</v>
      </c>
      <c r="J22" s="27" t="e">
        <f t="shared" ca="1" si="3"/>
        <v>#N/A</v>
      </c>
      <c r="K22" s="27" t="e">
        <f ca="1">(J22-G22)/(VLOOKUP(60,'Selected standard'!$B$5:$C$24,2)-VLOOKUP(15,'Selected standard'!$B$5:$C$24,2))</f>
        <v>#N/A</v>
      </c>
      <c r="L22" s="27" t="e">
        <f ca="1">IF('Alpha plots'!C9=1,K22,"")</f>
        <v>#N/A</v>
      </c>
      <c r="M22" s="29" t="e">
        <f t="shared" ca="1" si="6"/>
        <v>#N/A</v>
      </c>
      <c r="O22" s="50">
        <v>55</v>
      </c>
      <c r="P22" s="35">
        <f ca="1">(1+EXP(2*(AVERAGE($P$2:$P$3)+'Selected standard'!C19)))^-1</f>
        <v>0.88123125892586618</v>
      </c>
      <c r="Q22" s="36" t="e">
        <f ca="1">(1+EXP(2*($Q$2+$Q$3*'Selected standard'!C19)))^-1</f>
        <v>#N/A</v>
      </c>
      <c r="S22" s="52"/>
      <c r="T22" s="55">
        <v>112</v>
      </c>
      <c r="U22" s="19">
        <v>3</v>
      </c>
    </row>
    <row r="23" spans="2:22" ht="16.5">
      <c r="B23" s="47">
        <f t="shared" si="5"/>
        <v>35</v>
      </c>
      <c r="C23" s="26">
        <f>Introduction!F33</f>
        <v>0.88719999999999999</v>
      </c>
      <c r="D23" s="75">
        <f>Introduction!G33</f>
        <v>1991</v>
      </c>
      <c r="E23" s="26" t="e">
        <f t="shared" ca="1" si="1"/>
        <v>#N/A</v>
      </c>
      <c r="F23" s="25" t="e">
        <f ca="1">0.5*(LN(1-C23)-LN(C23*EXP(2*E23*VLOOKUP(Method!$U$44+B23,'Selected standard'!$B$5:$C$24,2))-EXP(2*E23*VLOOKUP(Method!$U$44,'Selected standard'!$B$5:$C$24,2))))</f>
        <v>#N/A</v>
      </c>
      <c r="G23" s="27" t="e">
        <f ca="1">$G$15+$G$14*Method!D23+E23*VLOOKUP(15,'Selected standard'!$B$5:$C$24,2)</f>
        <v>#N/A</v>
      </c>
      <c r="H23" s="27" t="e">
        <f t="shared" ca="1" si="2"/>
        <v>#N/A</v>
      </c>
      <c r="I23" s="27" t="e">
        <f ca="1">(1+EXP(2*(F23+E23*VLOOKUP(15,'Selected standard'!$B$5:$C$24,2))))/((1+EXP(2*(F23+E23*VLOOKUP(60,'Selected standard'!$B$5:$C$24,2)))))</f>
        <v>#N/A</v>
      </c>
      <c r="J23" s="27" t="e">
        <f t="shared" ca="1" si="3"/>
        <v>#N/A</v>
      </c>
      <c r="K23" s="27" t="e">
        <f ca="1">(J23-G23)/(VLOOKUP(60,'Selected standard'!$B$5:$C$24,2)-VLOOKUP(15,'Selected standard'!$B$5:$C$24,2))</f>
        <v>#N/A</v>
      </c>
      <c r="L23" s="27" t="e">
        <f ca="1">IF('Alpha plots'!C10=1,K23,"")</f>
        <v>#N/A</v>
      </c>
      <c r="M23" s="29" t="e">
        <f t="shared" ca="1" si="6"/>
        <v>#N/A</v>
      </c>
      <c r="O23" s="50">
        <v>60</v>
      </c>
      <c r="P23" s="35">
        <f ca="1">(1+EXP(2*(AVERAGE($P$2:$P$3)+'Selected standard'!C20)))^-1</f>
        <v>0.85556650326941575</v>
      </c>
      <c r="Q23" s="36" t="e">
        <f ca="1">(1+EXP(2*($Q$2+$Q$3*'Selected standard'!C20)))^-1</f>
        <v>#N/A</v>
      </c>
      <c r="S23" s="52"/>
      <c r="T23" s="55">
        <v>121</v>
      </c>
      <c r="U23" s="19">
        <f t="shared" ref="U23:U38" si="7">U21+4</f>
        <v>6</v>
      </c>
    </row>
    <row r="24" spans="2:22" ht="16.5">
      <c r="B24" s="48">
        <f t="shared" si="5"/>
        <v>40</v>
      </c>
      <c r="C24" s="31">
        <f>Introduction!F34</f>
        <v>0.83730000000000004</v>
      </c>
      <c r="D24" s="76">
        <f>Introduction!G34</f>
        <v>1990.51</v>
      </c>
      <c r="E24" s="31" t="e">
        <f t="shared" ca="1" si="1"/>
        <v>#N/A</v>
      </c>
      <c r="F24" s="32" t="e">
        <f ca="1">0.5*(LN(1-C24)-LN(C24*EXP(2*E24*VLOOKUP(Method!$U$44+B24,'Selected standard'!$B$5:$C$24,2))-EXP(2*E24*VLOOKUP(Method!$U$44,'Selected standard'!$B$5:$C$24,2))))</f>
        <v>#N/A</v>
      </c>
      <c r="G24" s="33" t="e">
        <f ca="1">$G$15+$G$14*Method!D24+E24*VLOOKUP(15,'Selected standard'!$B$5:$C$24,2)</f>
        <v>#N/A</v>
      </c>
      <c r="H24" s="33" t="e">
        <f t="shared" ca="1" si="2"/>
        <v>#N/A</v>
      </c>
      <c r="I24" s="33" t="e">
        <f ca="1">(1+EXP(2*(F24+E24*VLOOKUP(15,'Selected standard'!$B$5:$C$24,2))))/((1+EXP(2*(F24+E24*VLOOKUP(60,'Selected standard'!$B$5:$C$24,2)))))</f>
        <v>#N/A</v>
      </c>
      <c r="J24" s="33" t="e">
        <f t="shared" ca="1" si="3"/>
        <v>#N/A</v>
      </c>
      <c r="K24" s="33" t="e">
        <f ca="1">(J24-G24)/(VLOOKUP(60,'Selected standard'!$B$5:$C$24,2)-VLOOKUP(15,'Selected standard'!$B$5:$C$24,2))</f>
        <v>#N/A</v>
      </c>
      <c r="L24" s="33" t="e">
        <f ca="1">IF('Alpha plots'!C11=1,K24,"")</f>
        <v>#N/A</v>
      </c>
      <c r="M24" s="34" t="e">
        <f t="shared" ca="1" si="6"/>
        <v>#N/A</v>
      </c>
      <c r="O24" s="50">
        <v>65</v>
      </c>
      <c r="P24" s="35">
        <f ca="1">(1+EXP(2*(AVERAGE($P$2:$P$3)+'Selected standard'!C21)))^-1</f>
        <v>0.81638773107615525</v>
      </c>
      <c r="Q24" s="36" t="e">
        <f ca="1">(1+EXP(2*($Q$2+$Q$3*'Selected standard'!C21)))^-1</f>
        <v>#N/A</v>
      </c>
      <c r="S24" s="52"/>
      <c r="T24" s="55">
        <v>122</v>
      </c>
      <c r="U24" s="19">
        <f t="shared" si="7"/>
        <v>7</v>
      </c>
    </row>
    <row r="25" spans="2:22">
      <c r="K25" s="124" t="s">
        <v>62</v>
      </c>
      <c r="L25" s="27" t="e">
        <f ca="1">SLOPE(L18:L24,D18:D24)</f>
        <v>#N/A</v>
      </c>
      <c r="M25" s="28"/>
      <c r="O25" s="50">
        <v>70</v>
      </c>
      <c r="P25" s="35">
        <f ca="1">(1+EXP(2*(AVERAGE($P$2:$P$3)+'Selected standard'!C22)))^-1</f>
        <v>0.75373038269135162</v>
      </c>
      <c r="Q25" s="36" t="e">
        <f ca="1">(1+EXP(2*($Q$2+$Q$3*'Selected standard'!C22)))^-1</f>
        <v>#N/A</v>
      </c>
      <c r="S25" s="52"/>
      <c r="T25" s="55">
        <v>131</v>
      </c>
      <c r="U25" s="19">
        <f t="shared" si="7"/>
        <v>10</v>
      </c>
    </row>
    <row r="26" spans="2:22">
      <c r="K26" s="124" t="s">
        <v>63</v>
      </c>
      <c r="L26" s="27" t="e">
        <f ca="1">INTERCEPT(L18:L24,D18:D24)</f>
        <v>#N/A</v>
      </c>
      <c r="M26" s="28"/>
      <c r="O26" s="50">
        <v>75</v>
      </c>
      <c r="P26" s="35">
        <f ca="1">(1+EXP(2*(AVERAGE($P$2:$P$3)+'Selected standard'!C23)))^-1</f>
        <v>0.65709970125988293</v>
      </c>
      <c r="Q26" s="36" t="e">
        <f ca="1">(1+EXP(2*($Q$2+$Q$3*'Selected standard'!C23)))^-1</f>
        <v>#N/A</v>
      </c>
      <c r="S26" s="52"/>
      <c r="T26" s="55">
        <v>132</v>
      </c>
      <c r="U26" s="19">
        <f t="shared" si="7"/>
        <v>11</v>
      </c>
    </row>
    <row r="27" spans="2:22">
      <c r="K27" s="124" t="s">
        <v>58</v>
      </c>
      <c r="L27" s="28"/>
      <c r="M27" s="27" t="e">
        <f ca="1">SQRT(AVERAGEIF(M18:M24,"&gt;0"))</f>
        <v>#DIV/0!</v>
      </c>
      <c r="O27" s="51">
        <v>80</v>
      </c>
      <c r="P27" s="37">
        <f ca="1">(1+EXP(2*(AVERAGE($P$2:$P$3)+'Selected standard'!C24)))^-1</f>
        <v>0.51917502652347691</v>
      </c>
      <c r="Q27" s="38" t="e">
        <f ca="1">(1+EXP(2*($Q$2+$Q$3*'Selected standard'!C24)))^-1</f>
        <v>#N/A</v>
      </c>
      <c r="S27" s="52"/>
      <c r="T27" s="55">
        <v>141</v>
      </c>
      <c r="U27" s="19">
        <f t="shared" si="7"/>
        <v>14</v>
      </c>
    </row>
    <row r="28" spans="2:22">
      <c r="S28" s="52"/>
      <c r="T28" s="55">
        <v>142</v>
      </c>
      <c r="U28" s="19">
        <f t="shared" si="7"/>
        <v>15</v>
      </c>
      <c r="V28" s="106"/>
    </row>
    <row r="29" spans="2:22">
      <c r="S29" s="52"/>
      <c r="T29" s="55">
        <v>211</v>
      </c>
      <c r="U29" s="19">
        <f t="shared" si="7"/>
        <v>18</v>
      </c>
    </row>
    <row r="30" spans="2:22">
      <c r="S30" s="52"/>
      <c r="T30" s="55">
        <v>212</v>
      </c>
      <c r="U30" s="19">
        <f t="shared" si="7"/>
        <v>19</v>
      </c>
    </row>
    <row r="31" spans="2:22">
      <c r="S31" s="52"/>
      <c r="T31" s="55">
        <v>221</v>
      </c>
      <c r="U31" s="19">
        <f t="shared" si="7"/>
        <v>22</v>
      </c>
    </row>
    <row r="32" spans="2:22">
      <c r="S32" s="52"/>
      <c r="T32" s="55">
        <v>222</v>
      </c>
      <c r="U32" s="19">
        <f t="shared" si="7"/>
        <v>23</v>
      </c>
    </row>
    <row r="33" spans="19:21">
      <c r="S33" s="52"/>
      <c r="T33" s="55">
        <v>231</v>
      </c>
      <c r="U33" s="19">
        <f t="shared" si="7"/>
        <v>26</v>
      </c>
    </row>
    <row r="34" spans="19:21">
      <c r="S34" s="52"/>
      <c r="T34" s="55">
        <v>232</v>
      </c>
      <c r="U34" s="19">
        <f t="shared" si="7"/>
        <v>27</v>
      </c>
    </row>
    <row r="35" spans="19:21">
      <c r="S35" s="52"/>
      <c r="T35" s="55">
        <v>241</v>
      </c>
      <c r="U35" s="19">
        <f t="shared" si="7"/>
        <v>30</v>
      </c>
    </row>
    <row r="36" spans="19:21">
      <c r="S36" s="52"/>
      <c r="T36" s="55">
        <v>242</v>
      </c>
      <c r="U36" s="19">
        <f t="shared" si="7"/>
        <v>31</v>
      </c>
    </row>
    <row r="37" spans="19:21">
      <c r="S37" s="52"/>
      <c r="T37" s="55">
        <v>251</v>
      </c>
      <c r="U37" s="19">
        <f t="shared" si="7"/>
        <v>34</v>
      </c>
    </row>
    <row r="38" spans="19:21">
      <c r="S38" s="52"/>
      <c r="T38" s="54">
        <v>252</v>
      </c>
      <c r="U38" s="19">
        <f t="shared" si="7"/>
        <v>35</v>
      </c>
    </row>
    <row r="39" spans="19:21">
      <c r="S39" s="52"/>
      <c r="T39" s="52"/>
      <c r="U39" s="19"/>
    </row>
    <row r="40" spans="19:21" ht="16.5">
      <c r="S40" s="56" t="s">
        <v>53</v>
      </c>
      <c r="T40" s="56"/>
      <c r="U40" s="19">
        <f>MATCH(Introduction!F24,Adultdata,0)</f>
        <v>1</v>
      </c>
    </row>
    <row r="41" spans="19:21" ht="16.5">
      <c r="S41" s="56"/>
      <c r="T41" s="57" t="s">
        <v>8</v>
      </c>
      <c r="U41" s="19"/>
    </row>
    <row r="42" spans="19:21" ht="16.5">
      <c r="S42" s="56"/>
      <c r="T42" s="58" t="s">
        <v>54</v>
      </c>
      <c r="U42" s="19"/>
    </row>
    <row r="43" spans="19:21" ht="16.5">
      <c r="S43" s="56"/>
      <c r="T43" s="56"/>
      <c r="U43" s="19"/>
    </row>
    <row r="44" spans="19:21" ht="16.5">
      <c r="S44" s="56" t="s">
        <v>60</v>
      </c>
      <c r="T44" s="56"/>
      <c r="U44" s="19">
        <f>15+(2-U40)*10+(2-U40)*(2-U16)*10</f>
        <v>25</v>
      </c>
    </row>
    <row r="45" spans="19:21" ht="16.5">
      <c r="S45" s="56"/>
      <c r="T45" s="56"/>
      <c r="U45" s="19"/>
    </row>
    <row r="46" spans="19:21" ht="16.5">
      <c r="S46" s="56" t="s">
        <v>69</v>
      </c>
      <c r="T46" s="56"/>
      <c r="U46" s="19">
        <f>MATCH(Method!B3,TrueFalse,0)</f>
        <v>2</v>
      </c>
    </row>
    <row r="47" spans="19:21" ht="16.5">
      <c r="S47" s="56"/>
      <c r="T47" s="60" t="b">
        <v>0</v>
      </c>
      <c r="U47" s="19"/>
    </row>
    <row r="48" spans="19:21" ht="16.5">
      <c r="S48" s="56"/>
      <c r="T48" s="61" t="b">
        <v>1</v>
      </c>
      <c r="U48" s="19"/>
    </row>
    <row r="49" spans="19:20">
      <c r="S49" s="44"/>
      <c r="T49" s="44"/>
    </row>
    <row r="50" spans="19:20">
      <c r="S50" s="44"/>
      <c r="T50" s="44"/>
    </row>
    <row r="51" spans="19:20">
      <c r="S51" s="44"/>
      <c r="T51" s="44"/>
    </row>
    <row r="52" spans="19:20">
      <c r="S52" s="44"/>
      <c r="T52" s="44"/>
    </row>
    <row r="53" spans="19:20">
      <c r="S53" s="44"/>
      <c r="T53" s="44"/>
    </row>
    <row r="54" spans="19:20">
      <c r="S54" s="44"/>
      <c r="T54" s="44"/>
    </row>
    <row r="55" spans="19:20">
      <c r="S55" s="44"/>
      <c r="T55" s="44"/>
    </row>
    <row r="56" spans="19:20">
      <c r="S56" s="44"/>
      <c r="T56" s="44"/>
    </row>
    <row r="57" spans="19:20">
      <c r="S57" s="44"/>
      <c r="T57" s="44"/>
    </row>
    <row r="58" spans="19:20">
      <c r="S58" s="44"/>
      <c r="T58" s="44"/>
    </row>
    <row r="59" spans="19:20">
      <c r="S59" s="44"/>
      <c r="T59" s="44"/>
    </row>
    <row r="60" spans="19:20">
      <c r="S60" s="44"/>
      <c r="T60" s="44"/>
    </row>
  </sheetData>
  <sheetProtection sheet="1" objects="1" scenarios="1" selectLockedCells="1"/>
  <mergeCells count="1">
    <mergeCell ref="K17:L17"/>
  </mergeCells>
  <conditionalFormatting sqref="J15">
    <cfRule type="expression" dxfId="0" priority="1">
      <formula>TypeSelect=2</formula>
    </cfRule>
  </conditionalFormatting>
  <dataValidations count="1">
    <dataValidation type="list" allowBlank="1" showInputMessage="1" showErrorMessage="1" sqref="B3">
      <formula1>TrueFalse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/>
  </sheetViews>
  <sheetFormatPr defaultRowHeight="15"/>
  <cols>
    <col min="1" max="1" width="10.140625" style="152" customWidth="1"/>
    <col min="2" max="2" width="11.7109375" style="152" customWidth="1"/>
    <col min="3" max="3" width="4.5703125" style="138" customWidth="1"/>
    <col min="4" max="16384" width="9.140625" style="138"/>
  </cols>
  <sheetData>
    <row r="1" spans="1:5" ht="16.5">
      <c r="A1" s="136" t="s">
        <v>70</v>
      </c>
      <c r="B1" s="137" t="s">
        <v>72</v>
      </c>
    </row>
    <row r="2" spans="1:5" ht="16.5">
      <c r="A2" s="139" t="s">
        <v>114</v>
      </c>
      <c r="B2" s="140" t="e">
        <f ca="1">IF(Iterate,Method!Q2,"Reset cell B3 to ""TRUE")</f>
        <v>#N/A</v>
      </c>
    </row>
    <row r="3" spans="1:5" ht="16.5">
      <c r="A3" s="141" t="s">
        <v>113</v>
      </c>
      <c r="B3" s="142" t="e">
        <f ca="1">IF(Iterate,Method!Q3,"Reset cell B3 to ""TRUE")</f>
        <v>#N/A</v>
      </c>
    </row>
    <row r="4" spans="1:5" ht="16.5">
      <c r="A4" s="143"/>
      <c r="B4" s="143"/>
    </row>
    <row r="5" spans="1:5">
      <c r="A5" s="211" t="s">
        <v>71</v>
      </c>
      <c r="B5" s="212"/>
      <c r="E5" s="138" t="str">
        <f>"Fitted life table - "&amp;Introduction!F10&amp;", "&amp;Introduction!F11&amp;"s, "&amp;Introduction!F36</f>
        <v>Fitted life table - Dominican Rep., Females, 1997.5</v>
      </c>
    </row>
    <row r="6" spans="1:5">
      <c r="A6" s="144" t="s">
        <v>87</v>
      </c>
      <c r="B6" s="145" t="s">
        <v>88</v>
      </c>
    </row>
    <row r="7" spans="1:5" ht="16.5">
      <c r="A7" s="146">
        <v>0</v>
      </c>
      <c r="B7" s="147">
        <v>1</v>
      </c>
    </row>
    <row r="8" spans="1:5" ht="16.5">
      <c r="A8" s="148">
        <v>1</v>
      </c>
      <c r="B8" s="149" t="e">
        <f ca="1">(1+EXP(2*($B$2+$B$3*'Selected standard'!C5)))^-1</f>
        <v>#N/A</v>
      </c>
    </row>
    <row r="9" spans="1:5" ht="16.5">
      <c r="A9" s="148">
        <v>2</v>
      </c>
      <c r="B9" s="149" t="e">
        <f ca="1">(1+EXP(2*($B$2+$B$3*'Selected standard'!C6)))^-1</f>
        <v>#N/A</v>
      </c>
    </row>
    <row r="10" spans="1:5" ht="16.5">
      <c r="A10" s="148">
        <v>3</v>
      </c>
      <c r="B10" s="149" t="e">
        <f ca="1">(1+EXP(2*($B$2+$B$3*'Selected standard'!C7)))^-1</f>
        <v>#N/A</v>
      </c>
    </row>
    <row r="11" spans="1:5" ht="16.5">
      <c r="A11" s="148">
        <v>4</v>
      </c>
      <c r="B11" s="149" t="e">
        <f ca="1">(1+EXP(2*($B$2+$B$3*'Selected standard'!C8)))^-1</f>
        <v>#N/A</v>
      </c>
    </row>
    <row r="12" spans="1:5" ht="16.5">
      <c r="A12" s="148">
        <v>5</v>
      </c>
      <c r="B12" s="149" t="e">
        <f ca="1">(1+EXP(2*($B$2+$B$3*'Selected standard'!C9)))^-1</f>
        <v>#N/A</v>
      </c>
    </row>
    <row r="13" spans="1:5" ht="16.5">
      <c r="A13" s="148">
        <v>10</v>
      </c>
      <c r="B13" s="149" t="e">
        <f ca="1">(1+EXP(2*($B$2+$B$3*'Selected standard'!C10)))^-1</f>
        <v>#N/A</v>
      </c>
    </row>
    <row r="14" spans="1:5" ht="16.5">
      <c r="A14" s="148">
        <v>15</v>
      </c>
      <c r="B14" s="149" t="e">
        <f ca="1">(1+EXP(2*($B$2+$B$3*'Selected standard'!C11)))^-1</f>
        <v>#N/A</v>
      </c>
    </row>
    <row r="15" spans="1:5" ht="16.5">
      <c r="A15" s="148">
        <v>20</v>
      </c>
      <c r="B15" s="149" t="e">
        <f ca="1">(1+EXP(2*($B$2+$B$3*'Selected standard'!C12)))^-1</f>
        <v>#N/A</v>
      </c>
    </row>
    <row r="16" spans="1:5" ht="16.5">
      <c r="A16" s="148">
        <v>25</v>
      </c>
      <c r="B16" s="149" t="e">
        <f ca="1">(1+EXP(2*($B$2+$B$3*'Selected standard'!C13)))^-1</f>
        <v>#N/A</v>
      </c>
    </row>
    <row r="17" spans="1:2" ht="16.5">
      <c r="A17" s="148">
        <v>30</v>
      </c>
      <c r="B17" s="149" t="e">
        <f ca="1">(1+EXP(2*($B$2+$B$3*'Selected standard'!C14)))^-1</f>
        <v>#N/A</v>
      </c>
    </row>
    <row r="18" spans="1:2" ht="16.5">
      <c r="A18" s="148">
        <v>35</v>
      </c>
      <c r="B18" s="149" t="e">
        <f ca="1">(1+EXP(2*($B$2+$B$3*'Selected standard'!C15)))^-1</f>
        <v>#N/A</v>
      </c>
    </row>
    <row r="19" spans="1:2" ht="16.5">
      <c r="A19" s="148">
        <v>40</v>
      </c>
      <c r="B19" s="149" t="e">
        <f ca="1">(1+EXP(2*($B$2+$B$3*'Selected standard'!C16)))^-1</f>
        <v>#N/A</v>
      </c>
    </row>
    <row r="20" spans="1:2" ht="16.5">
      <c r="A20" s="148">
        <v>45</v>
      </c>
      <c r="B20" s="149" t="e">
        <f ca="1">(1+EXP(2*($B$2+$B$3*'Selected standard'!C17)))^-1</f>
        <v>#N/A</v>
      </c>
    </row>
    <row r="21" spans="1:2" ht="16.5">
      <c r="A21" s="148">
        <v>50</v>
      </c>
      <c r="B21" s="149" t="e">
        <f ca="1">(1+EXP(2*($B$2+$B$3*'Selected standard'!C18)))^-1</f>
        <v>#N/A</v>
      </c>
    </row>
    <row r="22" spans="1:2" ht="16.5">
      <c r="A22" s="148">
        <v>55</v>
      </c>
      <c r="B22" s="149" t="e">
        <f ca="1">(1+EXP(2*($B$2+$B$3*'Selected standard'!C19)))^-1</f>
        <v>#N/A</v>
      </c>
    </row>
    <row r="23" spans="1:2" ht="16.5">
      <c r="A23" s="148">
        <v>60</v>
      </c>
      <c r="B23" s="149" t="e">
        <f ca="1">(1+EXP(2*($B$2+$B$3*'Selected standard'!C20)))^-1</f>
        <v>#N/A</v>
      </c>
    </row>
    <row r="24" spans="1:2" ht="16.5">
      <c r="A24" s="148">
        <v>65</v>
      </c>
      <c r="B24" s="149" t="e">
        <f ca="1">(1+EXP(2*($B$2+$B$3*'Selected standard'!C21)))^-1</f>
        <v>#N/A</v>
      </c>
    </row>
    <row r="25" spans="1:2" ht="16.5">
      <c r="A25" s="148">
        <v>70</v>
      </c>
      <c r="B25" s="149" t="e">
        <f ca="1">(1+EXP(2*($B$2+$B$3*'Selected standard'!C22)))^-1</f>
        <v>#N/A</v>
      </c>
    </row>
    <row r="26" spans="1:2" ht="16.5">
      <c r="A26" s="148">
        <v>75</v>
      </c>
      <c r="B26" s="149" t="e">
        <f ca="1">(1+EXP(2*($B$2+$B$3*'Selected standard'!C23)))^-1</f>
        <v>#N/A</v>
      </c>
    </row>
    <row r="27" spans="1:2" ht="16.5">
      <c r="A27" s="148">
        <v>80</v>
      </c>
      <c r="B27" s="149" t="e">
        <f ca="1">(1+EXP(2*($B$2+$B$3*'Selected standard'!C24)))^-1</f>
        <v>#N/A</v>
      </c>
    </row>
    <row r="28" spans="1:2" ht="16.5">
      <c r="A28" s="148">
        <v>85</v>
      </c>
      <c r="B28" s="149" t="e">
        <f ca="1">(1+EXP(2*($B$2+$B$3*'Selected standard'!C25)))^-1</f>
        <v>#N/A</v>
      </c>
    </row>
    <row r="29" spans="1:2" ht="16.5">
      <c r="A29" s="148">
        <v>90</v>
      </c>
      <c r="B29" s="149" t="e">
        <f ca="1">(1+EXP(2*($B$2+$B$3*'Selected standard'!C26)))^-1</f>
        <v>#N/A</v>
      </c>
    </row>
    <row r="30" spans="1:2" ht="16.5">
      <c r="A30" s="148">
        <v>95</v>
      </c>
      <c r="B30" s="149" t="e">
        <f ca="1">(1+EXP(2*($B$2+$B$3*'Selected standard'!C27)))^-1</f>
        <v>#N/A</v>
      </c>
    </row>
    <row r="31" spans="1:2" ht="16.5">
      <c r="A31" s="148">
        <v>100</v>
      </c>
      <c r="B31" s="149" t="e">
        <f ca="1">(1+EXP(2*($B$2+$B$3*'Selected standard'!C28)))^-1</f>
        <v>#N/A</v>
      </c>
    </row>
    <row r="32" spans="1:2" ht="16.5">
      <c r="A32" s="148">
        <v>105</v>
      </c>
      <c r="B32" s="149" t="e">
        <f ca="1">(1+EXP(2*($B$2+$B$3*'Selected standard'!C29)))^-1</f>
        <v>#N/A</v>
      </c>
    </row>
    <row r="33" spans="1:2" ht="16.5">
      <c r="A33" s="150">
        <v>110</v>
      </c>
      <c r="B33" s="151" t="e">
        <f ca="1">(1+EXP(2*($B$2+$B$3*'Selected standard'!C30)))^-1</f>
        <v>#N/A</v>
      </c>
    </row>
  </sheetData>
  <sheetProtection sheet="1" objects="1" scenarios="1" selectLockedCells="1" selectUnlockedCells="1"/>
  <mergeCells count="1">
    <mergeCell ref="A5:B5"/>
  </mergeCells>
  <pageMargins left="0.7" right="0.7" top="0.75" bottom="0.75" header="0.3" footer="0.3"/>
  <ignoredErrors>
    <ignoredError sqref="A1:B1 A4:B5 B2 B3 A6:B33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F30"/>
  <sheetViews>
    <sheetView workbookViewId="0">
      <selection sqref="A1:B1"/>
    </sheetView>
  </sheetViews>
  <sheetFormatPr defaultRowHeight="15"/>
  <cols>
    <col min="3" max="3" width="9.140625" customWidth="1"/>
  </cols>
  <sheetData>
    <row r="1" spans="1:6" ht="16.5">
      <c r="A1" s="218"/>
      <c r="B1" s="218"/>
      <c r="C1" s="213" t="str">
        <f ca="1">IF(Method!U16=1,(OFFSET(INDIRECT(Method!$U$20),-2,0)&amp;" - "&amp;OFFSET(INDIRECT(Method!$U$20),-1,0)),(OFFSET(INDIRECT(Method!$U$20),-2,-1)&amp;" - "&amp;OFFSET(INDIRECT(Method!$U$20),-1,0)))</f>
        <v>UN Latin American - Females</v>
      </c>
      <c r="D1" s="213"/>
      <c r="E1" s="213"/>
      <c r="F1" s="214"/>
    </row>
    <row r="2" spans="1:6" ht="16.5">
      <c r="A2" s="62"/>
      <c r="B2" s="63"/>
      <c r="C2" s="217" t="s">
        <v>115</v>
      </c>
      <c r="D2" s="215"/>
      <c r="E2" s="215" t="e">
        <f ca="1">"β = "&amp;ROUND(Method!Q3,4)</f>
        <v>#N/A</v>
      </c>
      <c r="F2" s="216"/>
    </row>
    <row r="3" spans="1:6" ht="16.5">
      <c r="A3" s="71" t="s">
        <v>55</v>
      </c>
      <c r="B3" s="125" t="s">
        <v>6</v>
      </c>
      <c r="C3" s="71" t="s">
        <v>117</v>
      </c>
      <c r="D3" s="101" t="s">
        <v>116</v>
      </c>
      <c r="E3" s="71" t="s">
        <v>117</v>
      </c>
      <c r="F3" s="82" t="s">
        <v>116</v>
      </c>
    </row>
    <row r="4" spans="1:6" ht="16.5">
      <c r="A4" s="107">
        <v>1</v>
      </c>
      <c r="B4" s="108">
        <v>0</v>
      </c>
      <c r="C4" s="109"/>
      <c r="D4" s="109">
        <v>1</v>
      </c>
      <c r="E4" s="109"/>
      <c r="F4" s="110">
        <v>1</v>
      </c>
    </row>
    <row r="5" spans="1:6" ht="16.5">
      <c r="A5" s="62">
        <v>2</v>
      </c>
      <c r="B5" s="63">
        <v>1</v>
      </c>
      <c r="C5" s="66">
        <f ca="1">OFFSET(INDIRECT(Method!$U$20),A5-1,0)</f>
        <v>-1.23753030934175</v>
      </c>
      <c r="D5" s="66">
        <f t="shared" ref="D5:D24" ca="1" si="0">(1+EXP(2*C5))^-1</f>
        <v>0.92237487781980187</v>
      </c>
      <c r="E5" s="66" t="e">
        <f ca="1">C5*Method!$Q$3</f>
        <v>#N/A</v>
      </c>
      <c r="F5" s="67" t="e">
        <f t="shared" ref="F5:F24" ca="1" si="1">(1+EXP(2*E5))^-1</f>
        <v>#N/A</v>
      </c>
    </row>
    <row r="6" spans="1:6" ht="16.5">
      <c r="A6" s="62">
        <v>3</v>
      </c>
      <c r="B6" s="63">
        <v>2</v>
      </c>
      <c r="C6" s="66">
        <f ca="1">OFFSET(INDIRECT(Method!$U$20),A6-1,0)</f>
        <v>-1.1005760900291686</v>
      </c>
      <c r="D6" s="66">
        <f t="shared" ca="1" si="0"/>
        <v>0.90035292932482736</v>
      </c>
      <c r="E6" s="66" t="e">
        <f ca="1">C6*Method!$Q$3</f>
        <v>#N/A</v>
      </c>
      <c r="F6" s="67" t="e">
        <f t="shared" ca="1" si="1"/>
        <v>#N/A</v>
      </c>
    </row>
    <row r="7" spans="1:6" ht="16.5">
      <c r="A7" s="62">
        <v>4</v>
      </c>
      <c r="B7" s="63">
        <v>3</v>
      </c>
      <c r="C7" s="66">
        <f ca="1">OFFSET(INDIRECT(Method!$U$20),A7-1,0)</f>
        <v>-1.0398150394030004</v>
      </c>
      <c r="D7" s="66">
        <f t="shared" ca="1" si="0"/>
        <v>0.88890750847437816</v>
      </c>
      <c r="E7" s="66" t="e">
        <f ca="1">C7*Method!$Q$3</f>
        <v>#N/A</v>
      </c>
      <c r="F7" s="67" t="e">
        <f ca="1">(1+EXP(2*E7))^-1</f>
        <v>#N/A</v>
      </c>
    </row>
    <row r="8" spans="1:6" ht="16.5">
      <c r="A8" s="62">
        <v>5</v>
      </c>
      <c r="B8" s="63">
        <v>4</v>
      </c>
      <c r="C8" s="66">
        <f ca="1">OFFSET(INDIRECT(Method!$U$20),A8-1,0)</f>
        <v>-1.0046334008611115</v>
      </c>
      <c r="D8" s="66">
        <f ca="1">(1+EXP(2*C8))^-1</f>
        <v>0.8817666045406336</v>
      </c>
      <c r="E8" s="66" t="e">
        <f ca="1">C8*Method!$Q$3</f>
        <v>#N/A</v>
      </c>
      <c r="F8" s="67" t="e">
        <f t="shared" ca="1" si="1"/>
        <v>#N/A</v>
      </c>
    </row>
    <row r="9" spans="1:6" ht="16.5">
      <c r="A9" s="62">
        <v>6</v>
      </c>
      <c r="B9" s="63">
        <v>5</v>
      </c>
      <c r="C9" s="66">
        <f ca="1">OFFSET(INDIRECT(Method!$U$20),A9-1,0)</f>
        <v>-0.98147966750972182</v>
      </c>
      <c r="D9" s="66">
        <f t="shared" ca="1" si="0"/>
        <v>0.87685286365195891</v>
      </c>
      <c r="E9" s="66" t="e">
        <f ca="1">C9*Method!$Q$3</f>
        <v>#N/A</v>
      </c>
      <c r="F9" s="67" t="e">
        <f t="shared" ca="1" si="1"/>
        <v>#N/A</v>
      </c>
    </row>
    <row r="10" spans="1:6" ht="16.5">
      <c r="A10" s="62">
        <v>7</v>
      </c>
      <c r="B10" s="63">
        <v>10</v>
      </c>
      <c r="C10" s="66">
        <f ca="1">OFFSET(INDIRECT(Method!$U$20),A10-1,0)</f>
        <v>-0.93040263712809212</v>
      </c>
      <c r="D10" s="66">
        <f t="shared" ca="1" si="0"/>
        <v>0.86539078170968142</v>
      </c>
      <c r="E10" s="66" t="e">
        <f ca="1">C10*Method!$Q$3</f>
        <v>#N/A</v>
      </c>
      <c r="F10" s="67" t="e">
        <f t="shared" ca="1" si="1"/>
        <v>#N/A</v>
      </c>
    </row>
    <row r="11" spans="1:6" ht="16.5">
      <c r="A11" s="62">
        <v>8</v>
      </c>
      <c r="B11" s="63">
        <v>15</v>
      </c>
      <c r="C11" s="66">
        <f ca="1">OFFSET(INDIRECT(Method!$U$20),A11-1,0)</f>
        <v>-0.90544375058891757</v>
      </c>
      <c r="D11" s="66">
        <f t="shared" ca="1" si="0"/>
        <v>0.85946910260335774</v>
      </c>
      <c r="E11" s="66" t="e">
        <f ca="1">C11*Method!$Q$3</f>
        <v>#N/A</v>
      </c>
      <c r="F11" s="67" t="e">
        <f t="shared" ca="1" si="1"/>
        <v>#N/A</v>
      </c>
    </row>
    <row r="12" spans="1:6" ht="16.5">
      <c r="A12" s="62">
        <v>9</v>
      </c>
      <c r="B12" s="63">
        <v>20</v>
      </c>
      <c r="C12" s="66">
        <f ca="1">OFFSET(INDIRECT(Method!$U$20),A12-1,0)</f>
        <v>-0.87353503704912039</v>
      </c>
      <c r="D12" s="66">
        <f t="shared" ca="1" si="0"/>
        <v>0.85158287147840039</v>
      </c>
      <c r="E12" s="66" t="e">
        <f ca="1">C12*Method!$Q$3</f>
        <v>#N/A</v>
      </c>
      <c r="F12" s="67" t="e">
        <f t="shared" ca="1" si="1"/>
        <v>#N/A</v>
      </c>
    </row>
    <row r="13" spans="1:6" ht="16.5">
      <c r="A13" s="62">
        <v>10</v>
      </c>
      <c r="B13" s="63">
        <v>25</v>
      </c>
      <c r="C13" s="66">
        <f ca="1">OFFSET(INDIRECT(Method!$U$20),A13-1,0)</f>
        <v>-0.83129607238447223</v>
      </c>
      <c r="D13" s="66">
        <f t="shared" ca="1" si="0"/>
        <v>0.84058566083823594</v>
      </c>
      <c r="E13" s="66" t="e">
        <f ca="1">C13*Method!$Q$3</f>
        <v>#N/A</v>
      </c>
      <c r="F13" s="67" t="e">
        <f t="shared" ca="1" si="1"/>
        <v>#N/A</v>
      </c>
    </row>
    <row r="14" spans="1:6" ht="16.5">
      <c r="A14" s="62">
        <v>11</v>
      </c>
      <c r="B14" s="63">
        <v>30</v>
      </c>
      <c r="C14" s="66">
        <f ca="1">OFFSET(INDIRECT(Method!$U$20),A14-1,0)</f>
        <v>-0.78283972989421957</v>
      </c>
      <c r="D14" s="66">
        <f t="shared" ca="1" si="0"/>
        <v>0.82716680854644586</v>
      </c>
      <c r="E14" s="66" t="e">
        <f ca="1">C14*Method!$Q$3</f>
        <v>#N/A</v>
      </c>
      <c r="F14" s="67" t="e">
        <f t="shared" ca="1" si="1"/>
        <v>#N/A</v>
      </c>
    </row>
    <row r="15" spans="1:6" ht="16.5">
      <c r="A15" s="62">
        <v>12</v>
      </c>
      <c r="B15" s="63">
        <v>35</v>
      </c>
      <c r="C15" s="66">
        <f ca="1">OFFSET(INDIRECT(Method!$U$20),A15-1,0)</f>
        <v>-0.72849764284715601</v>
      </c>
      <c r="D15" s="66">
        <f t="shared" ca="1" si="0"/>
        <v>0.81107268132932631</v>
      </c>
      <c r="E15" s="66" t="e">
        <f ca="1">C15*Method!$Q$3</f>
        <v>#N/A</v>
      </c>
      <c r="F15" s="67" t="e">
        <f t="shared" ca="1" si="1"/>
        <v>#N/A</v>
      </c>
    </row>
    <row r="16" spans="1:6" ht="16.5">
      <c r="A16" s="62">
        <v>13</v>
      </c>
      <c r="B16" s="63">
        <v>40</v>
      </c>
      <c r="C16" s="66">
        <f ca="1">OFFSET(INDIRECT(Method!$U$20),A16-1,0)</f>
        <v>-0.66699966992332982</v>
      </c>
      <c r="D16" s="66">
        <f t="shared" ca="1" si="0"/>
        <v>0.79150140302358085</v>
      </c>
      <c r="E16" s="66" t="e">
        <f ca="1">C16*Method!$Q$3</f>
        <v>#N/A</v>
      </c>
      <c r="F16" s="67" t="e">
        <f t="shared" ca="1" si="1"/>
        <v>#N/A</v>
      </c>
    </row>
    <row r="17" spans="1:6" ht="16.5">
      <c r="A17" s="62">
        <v>14</v>
      </c>
      <c r="B17" s="63">
        <v>45</v>
      </c>
      <c r="C17" s="66">
        <f ca="1">OFFSET(INDIRECT(Method!$U$20),A17-1,0)</f>
        <v>-0.60046026168439803</v>
      </c>
      <c r="D17" s="66">
        <f t="shared" ca="1" si="0"/>
        <v>0.76868849900950498</v>
      </c>
      <c r="E17" s="66" t="e">
        <f ca="1">C17*Method!$Q$3</f>
        <v>#N/A</v>
      </c>
      <c r="F17" s="67" t="e">
        <f t="shared" ca="1" si="1"/>
        <v>#N/A</v>
      </c>
    </row>
    <row r="18" spans="1:6" ht="16.5">
      <c r="A18" s="62">
        <v>15</v>
      </c>
      <c r="B18" s="63">
        <v>50</v>
      </c>
      <c r="C18" s="66">
        <f ca="1">OFFSET(INDIRECT(Method!$U$20),A18-1,0)</f>
        <v>-0.52475683123313599</v>
      </c>
      <c r="D18" s="66">
        <f t="shared" ca="1" si="0"/>
        <v>0.74068149809149486</v>
      </c>
      <c r="E18" s="66" t="e">
        <f ca="1">C18*Method!$Q$3</f>
        <v>#N/A</v>
      </c>
      <c r="F18" s="67" t="e">
        <f t="shared" ca="1" si="1"/>
        <v>#N/A</v>
      </c>
    </row>
    <row r="19" spans="1:6" ht="16.5">
      <c r="A19" s="62">
        <v>16</v>
      </c>
      <c r="B19" s="63">
        <v>55</v>
      </c>
      <c r="C19" s="66">
        <f ca="1">OFFSET(INDIRECT(Method!$U$20),A19-1,0)</f>
        <v>-0.43556495327993272</v>
      </c>
      <c r="D19" s="66">
        <f t="shared" ca="1" si="0"/>
        <v>0.70498075364657775</v>
      </c>
      <c r="E19" s="66" t="e">
        <f ca="1">C19*Method!$Q$3</f>
        <v>#N/A</v>
      </c>
      <c r="F19" s="67" t="e">
        <f t="shared" ca="1" si="1"/>
        <v>#N/A</v>
      </c>
    </row>
    <row r="20" spans="1:6" ht="16.5">
      <c r="A20" s="62">
        <v>17</v>
      </c>
      <c r="B20" s="63">
        <v>60</v>
      </c>
      <c r="C20" s="66">
        <f ca="1">OFFSET(INDIRECT(Method!$U$20),A20-1,0)</f>
        <v>-0.32296636211891477</v>
      </c>
      <c r="D20" s="66">
        <f t="shared" ca="1" si="0"/>
        <v>0.65609332695280931</v>
      </c>
      <c r="E20" s="66" t="e">
        <f ca="1">C20*Method!$Q$3</f>
        <v>#N/A</v>
      </c>
      <c r="F20" s="67" t="e">
        <f t="shared" ca="1" si="1"/>
        <v>#N/A</v>
      </c>
    </row>
    <row r="21" spans="1:6" ht="16.5">
      <c r="A21" s="62">
        <v>18</v>
      </c>
      <c r="B21" s="63">
        <v>65</v>
      </c>
      <c r="C21" s="66">
        <f ca="1">OFFSET(INDIRECT(Method!$U$20),A21-1,0)</f>
        <v>-0.17952558587335707</v>
      </c>
      <c r="D21" s="66">
        <f t="shared" ca="1" si="0"/>
        <v>0.58881073010536111</v>
      </c>
      <c r="E21" s="66" t="e">
        <f ca="1">C21*Method!$Q$3</f>
        <v>#N/A</v>
      </c>
      <c r="F21" s="67" t="e">
        <f t="shared" ca="1" si="1"/>
        <v>#N/A</v>
      </c>
    </row>
    <row r="22" spans="1:6" ht="16.5">
      <c r="A22" s="62">
        <v>19</v>
      </c>
      <c r="B22" s="63">
        <v>70</v>
      </c>
      <c r="C22" s="66">
        <f ca="1">OFFSET(INDIRECT(Method!$U$20),A22-1,0)</f>
        <v>7.202075246663755E-3</v>
      </c>
      <c r="D22" s="66">
        <f t="shared" ca="1" si="0"/>
        <v>0.49639902463718222</v>
      </c>
      <c r="E22" s="66" t="e">
        <f ca="1">C22*Method!$Q$3</f>
        <v>#N/A</v>
      </c>
      <c r="F22" s="67" t="e">
        <f t="shared" ca="1" si="1"/>
        <v>#N/A</v>
      </c>
    </row>
    <row r="23" spans="1:6" ht="16.5">
      <c r="A23" s="62">
        <v>20</v>
      </c>
      <c r="B23" s="63">
        <v>75</v>
      </c>
      <c r="C23" s="66">
        <f ca="1">OFFSET(INDIRECT(Method!$U$20),A23-1,0)</f>
        <v>0.2413079511272811</v>
      </c>
      <c r="D23" s="66">
        <f t="shared" ca="1" si="0"/>
        <v>0.38163460856386255</v>
      </c>
      <c r="E23" s="66" t="e">
        <f ca="1">C23*Method!$Q$3</f>
        <v>#N/A</v>
      </c>
      <c r="F23" s="67" t="e">
        <f t="shared" ca="1" si="1"/>
        <v>#N/A</v>
      </c>
    </row>
    <row r="24" spans="1:6" ht="16.5">
      <c r="A24" s="62">
        <v>21</v>
      </c>
      <c r="B24" s="63">
        <v>80</v>
      </c>
      <c r="C24" s="66">
        <f ca="1">OFFSET(INDIRECT(Method!$U$20),A24-1,0)</f>
        <v>0.52813709495069316</v>
      </c>
      <c r="D24" s="66">
        <f t="shared" ca="1" si="0"/>
        <v>0.25802210541564868</v>
      </c>
      <c r="E24" s="66" t="e">
        <f ca="1">C24*Method!$Q$3</f>
        <v>#N/A</v>
      </c>
      <c r="F24" s="67" t="e">
        <f t="shared" ca="1" si="1"/>
        <v>#N/A</v>
      </c>
    </row>
    <row r="25" spans="1:6" ht="16.5">
      <c r="A25" s="62">
        <v>22</v>
      </c>
      <c r="B25" s="63">
        <v>85</v>
      </c>
      <c r="C25" s="66">
        <f ca="1">OFFSET(INDIRECT(Method!$U$20),A25-1,0)</f>
        <v>0.90338845527136724</v>
      </c>
      <c r="D25" s="66">
        <f t="shared" ref="D25:D28" ca="1" si="2">(1+EXP(2*C25))^-1</f>
        <v>0.14102811661394449</v>
      </c>
      <c r="E25" s="66" t="e">
        <f ca="1">C25*Method!$Q$3</f>
        <v>#N/A</v>
      </c>
      <c r="F25" s="67" t="e">
        <f t="shared" ref="F25:F28" ca="1" si="3">(1+EXP(2*E25))^-1</f>
        <v>#N/A</v>
      </c>
    </row>
    <row r="26" spans="1:6" ht="16.5">
      <c r="A26" s="62">
        <v>23</v>
      </c>
      <c r="B26" s="63">
        <v>90</v>
      </c>
      <c r="C26" s="66">
        <f ca="1">OFFSET(INDIRECT(Method!$U$20),A26-1,0)</f>
        <v>1.3934292134435451</v>
      </c>
      <c r="D26" s="66">
        <f t="shared" ca="1" si="2"/>
        <v>5.8038466811420782E-2</v>
      </c>
      <c r="E26" s="66" t="e">
        <f ca="1">C26*Method!$Q$3</f>
        <v>#N/A</v>
      </c>
      <c r="F26" s="67" t="e">
        <f t="shared" ca="1" si="3"/>
        <v>#N/A</v>
      </c>
    </row>
    <row r="27" spans="1:6" ht="16.5">
      <c r="A27" s="62">
        <v>24</v>
      </c>
      <c r="B27" s="63">
        <v>95</v>
      </c>
      <c r="C27" s="66">
        <f ca="1">OFFSET(INDIRECT(Method!$U$20),A27-1,0)</f>
        <v>2.0518339123277936</v>
      </c>
      <c r="D27" s="66">
        <f t="shared" ca="1" si="2"/>
        <v>1.6243783699839205E-2</v>
      </c>
      <c r="E27" s="66" t="e">
        <f ca="1">C27*Method!$Q$3</f>
        <v>#N/A</v>
      </c>
      <c r="F27" s="67" t="e">
        <f t="shared" ca="1" si="3"/>
        <v>#N/A</v>
      </c>
    </row>
    <row r="28" spans="1:6" ht="16.5">
      <c r="A28" s="62">
        <v>25</v>
      </c>
      <c r="B28" s="63">
        <v>100</v>
      </c>
      <c r="C28" s="66">
        <f ca="1">OFFSET(INDIRECT(Method!$U$20),A28-1,0)</f>
        <v>2.9498761884268374</v>
      </c>
      <c r="D28" s="66">
        <f t="shared" ca="1" si="2"/>
        <v>2.7326354946480232E-3</v>
      </c>
      <c r="E28" s="66" t="e">
        <f ca="1">C28*Method!$Q$3</f>
        <v>#N/A</v>
      </c>
      <c r="F28" s="67" t="e">
        <f t="shared" ca="1" si="3"/>
        <v>#N/A</v>
      </c>
    </row>
    <row r="29" spans="1:6" ht="16.5">
      <c r="A29" s="62">
        <v>26</v>
      </c>
      <c r="B29" s="63">
        <v>105</v>
      </c>
      <c r="C29" s="66">
        <f ca="1">OFFSET(INDIRECT(Method!$U$20),A29-1,0)</f>
        <v>4.0946817863102076</v>
      </c>
      <c r="D29" s="66">
        <f t="shared" ref="D29:D30" ca="1" si="4">(1+EXP(2*C29))^-1</f>
        <v>2.7751345912751363E-4</v>
      </c>
      <c r="E29" s="66" t="e">
        <f ca="1">C29*Method!$Q$3</f>
        <v>#N/A</v>
      </c>
      <c r="F29" s="67" t="e">
        <f t="shared" ref="F29:F30" ca="1" si="5">(1+EXP(2*E29))^-1</f>
        <v>#N/A</v>
      </c>
    </row>
    <row r="30" spans="1:6" ht="16.5">
      <c r="A30" s="64">
        <v>27</v>
      </c>
      <c r="B30" s="65">
        <v>110</v>
      </c>
      <c r="C30" s="31">
        <f ca="1">OFFSET(INDIRECT(Method!$U$20),A30-1,0)</f>
        <v>5.4321150179459448</v>
      </c>
      <c r="D30" s="31">
        <f t="shared" ca="1" si="4"/>
        <v>1.913006902820845E-5</v>
      </c>
      <c r="E30" s="31" t="e">
        <f ca="1">C30*Method!$Q$3</f>
        <v>#N/A</v>
      </c>
      <c r="F30" s="68" t="e">
        <f t="shared" ca="1" si="5"/>
        <v>#N/A</v>
      </c>
    </row>
  </sheetData>
  <sheetProtection sheet="1" objects="1" scenarios="1" selectLockedCells="1" selectUnlockedCells="1"/>
  <mergeCells count="4">
    <mergeCell ref="C1:F1"/>
    <mergeCell ref="E2:F2"/>
    <mergeCell ref="C2:D2"/>
    <mergeCell ref="A1:B1"/>
  </mergeCells>
  <pageMargins left="0.7" right="0.7" top="0.75" bottom="0.75" header="0.3" footer="0.3"/>
  <ignoredErrors>
    <ignoredError sqref="E5:E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AN52"/>
  <sheetViews>
    <sheetView showGridLines="0" zoomScaleNormal="10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4.5703125" style="7" customWidth="1"/>
    <col min="2" max="2" width="8.5703125" style="7" bestFit="1" customWidth="1"/>
    <col min="3" max="3" width="8.5703125" style="9" bestFit="1" customWidth="1"/>
    <col min="4" max="4" width="10" style="9" bestFit="1" customWidth="1"/>
    <col min="5" max="5" width="1.42578125" style="9" customWidth="1"/>
    <col min="6" max="7" width="8.5703125" style="9" bestFit="1" customWidth="1"/>
    <col min="8" max="8" width="10" style="9" bestFit="1" customWidth="1"/>
    <col min="9" max="9" width="1.42578125" style="9" customWidth="1"/>
    <col min="10" max="11" width="8.5703125" style="9" bestFit="1" customWidth="1"/>
    <col min="12" max="12" width="10" style="9" bestFit="1" customWidth="1"/>
    <col min="13" max="13" width="1.42578125" style="9" customWidth="1"/>
    <col min="14" max="15" width="8.5703125" style="9" bestFit="1" customWidth="1"/>
    <col min="16" max="16" width="10" style="9" bestFit="1" customWidth="1"/>
    <col min="17" max="17" width="1.42578125" style="9" customWidth="1"/>
    <col min="18" max="19" width="8.5703125" style="9" bestFit="1" customWidth="1"/>
    <col min="20" max="20" width="10" style="9" bestFit="1" customWidth="1"/>
    <col min="21" max="21" width="1.42578125" style="9" customWidth="1"/>
    <col min="22" max="23" width="8.5703125" style="9" bestFit="1" customWidth="1"/>
    <col min="24" max="24" width="10" style="9" bestFit="1" customWidth="1"/>
    <col min="25" max="25" width="1.42578125" style="9" customWidth="1"/>
    <col min="26" max="27" width="8.5703125" style="9" bestFit="1" customWidth="1"/>
    <col min="28" max="28" width="10" style="9" bestFit="1" customWidth="1"/>
    <col min="29" max="29" width="1.42578125" style="9" customWidth="1"/>
    <col min="30" max="31" width="8.5703125" style="9" bestFit="1" customWidth="1"/>
    <col min="32" max="32" width="10" style="9" bestFit="1" customWidth="1"/>
    <col min="33" max="33" width="1.42578125" style="9" customWidth="1"/>
    <col min="34" max="35" width="8.5703125" style="9" bestFit="1" customWidth="1"/>
    <col min="36" max="36" width="10" style="9" bestFit="1" customWidth="1"/>
    <col min="37" max="37" width="1.42578125" style="9" customWidth="1"/>
    <col min="41" max="16384" width="9.140625" style="9"/>
  </cols>
  <sheetData>
    <row r="1" spans="1:37" s="1" customFormat="1" ht="16.5" customHeight="1">
      <c r="A1" s="117" t="s">
        <v>59</v>
      </c>
      <c r="B1" s="118"/>
      <c r="C1" s="118"/>
      <c r="D1" s="118"/>
      <c r="E1" s="116"/>
    </row>
    <row r="2" spans="1:37" s="1" customFormat="1" ht="16.5">
      <c r="A2" s="118"/>
      <c r="B2" s="219" t="s">
        <v>17</v>
      </c>
      <c r="C2" s="220"/>
      <c r="D2" s="221"/>
      <c r="E2" s="2"/>
      <c r="F2" s="222" t="s">
        <v>18</v>
      </c>
      <c r="G2" s="223"/>
      <c r="H2" s="224"/>
      <c r="I2" s="2"/>
      <c r="J2" s="222" t="s">
        <v>19</v>
      </c>
      <c r="K2" s="223"/>
      <c r="L2" s="224"/>
      <c r="M2" s="2"/>
      <c r="N2" s="222" t="s">
        <v>20</v>
      </c>
      <c r="O2" s="223"/>
      <c r="P2" s="224"/>
      <c r="Q2" s="2"/>
      <c r="R2" s="222" t="s">
        <v>21</v>
      </c>
      <c r="S2" s="223"/>
      <c r="T2" s="224"/>
      <c r="U2" s="2"/>
      <c r="V2" s="222" t="s">
        <v>76</v>
      </c>
      <c r="W2" s="223"/>
      <c r="X2" s="224"/>
      <c r="Y2" s="2"/>
      <c r="Z2" s="222" t="s">
        <v>77</v>
      </c>
      <c r="AA2" s="223"/>
      <c r="AB2" s="224"/>
      <c r="AC2" s="2"/>
      <c r="AD2" s="222" t="s">
        <v>78</v>
      </c>
      <c r="AE2" s="223"/>
      <c r="AF2" s="224"/>
      <c r="AG2" s="2"/>
      <c r="AH2" s="222" t="s">
        <v>79</v>
      </c>
      <c r="AI2" s="223"/>
      <c r="AJ2" s="224"/>
      <c r="AK2" s="2"/>
    </row>
    <row r="3" spans="1:37" s="1" customFormat="1" ht="16.5">
      <c r="A3" s="114" t="s">
        <v>6</v>
      </c>
      <c r="B3" s="30" t="s">
        <v>22</v>
      </c>
      <c r="C3" s="4" t="s">
        <v>23</v>
      </c>
      <c r="D3" s="5" t="s">
        <v>16</v>
      </c>
      <c r="E3" s="4"/>
      <c r="F3" s="3" t="s">
        <v>22</v>
      </c>
      <c r="G3" s="4" t="s">
        <v>23</v>
      </c>
      <c r="H3" s="5" t="s">
        <v>16</v>
      </c>
      <c r="I3" s="4"/>
      <c r="J3" s="3" t="s">
        <v>22</v>
      </c>
      <c r="K3" s="4" t="s">
        <v>23</v>
      </c>
      <c r="L3" s="5" t="s">
        <v>16</v>
      </c>
      <c r="M3" s="4"/>
      <c r="N3" s="3" t="s">
        <v>22</v>
      </c>
      <c r="O3" s="4" t="s">
        <v>23</v>
      </c>
      <c r="P3" s="5" t="s">
        <v>16</v>
      </c>
      <c r="Q3" s="4"/>
      <c r="R3" s="3" t="s">
        <v>22</v>
      </c>
      <c r="S3" s="4" t="s">
        <v>23</v>
      </c>
      <c r="T3" s="5" t="s">
        <v>16</v>
      </c>
      <c r="U3" s="4"/>
      <c r="V3" s="3" t="s">
        <v>22</v>
      </c>
      <c r="W3" s="4" t="s">
        <v>23</v>
      </c>
      <c r="X3" s="5" t="s">
        <v>16</v>
      </c>
      <c r="Y3" s="4"/>
      <c r="Z3" s="3" t="s">
        <v>22</v>
      </c>
      <c r="AA3" s="4" t="s">
        <v>23</v>
      </c>
      <c r="AB3" s="5" t="s">
        <v>16</v>
      </c>
      <c r="AC3" s="4"/>
      <c r="AD3" s="3" t="s">
        <v>22</v>
      </c>
      <c r="AE3" s="4" t="s">
        <v>23</v>
      </c>
      <c r="AF3" s="5" t="s">
        <v>16</v>
      </c>
      <c r="AG3" s="4"/>
      <c r="AH3" s="3" t="s">
        <v>22</v>
      </c>
      <c r="AI3" s="4" t="s">
        <v>23</v>
      </c>
      <c r="AJ3" s="5" t="s">
        <v>16</v>
      </c>
      <c r="AK3" s="4"/>
    </row>
    <row r="4" spans="1:37" ht="16.5">
      <c r="A4" s="30">
        <v>0</v>
      </c>
      <c r="C4" s="7"/>
      <c r="D4" s="8"/>
      <c r="F4" s="6"/>
      <c r="G4" s="7"/>
      <c r="H4" s="8"/>
      <c r="J4" s="6"/>
      <c r="K4" s="7"/>
      <c r="L4" s="8"/>
      <c r="N4" s="6"/>
      <c r="O4" s="7"/>
      <c r="P4" s="8"/>
      <c r="R4" s="6"/>
      <c r="S4" s="7"/>
      <c r="T4" s="8"/>
      <c r="V4" s="6"/>
      <c r="W4" s="7"/>
      <c r="X4" s="8"/>
      <c r="Z4" s="6"/>
      <c r="AA4" s="7"/>
      <c r="AB4" s="8"/>
      <c r="AD4" s="6"/>
      <c r="AE4" s="7"/>
      <c r="AF4" s="8"/>
      <c r="AH4" s="6"/>
      <c r="AI4" s="7"/>
      <c r="AJ4" s="8"/>
    </row>
    <row r="5" spans="1:37" ht="16.5">
      <c r="A5" s="30">
        <v>1</v>
      </c>
      <c r="B5" s="11">
        <v>-1.3391918682730433</v>
      </c>
      <c r="C5" s="11">
        <v>-1.3205376539073994</v>
      </c>
      <c r="D5" s="12">
        <v>-1.3300166619272631</v>
      </c>
      <c r="E5" s="13"/>
      <c r="F5" s="10">
        <v>-1.149542994259372</v>
      </c>
      <c r="G5" s="11">
        <v>-1.1287564594165489</v>
      </c>
      <c r="H5" s="12">
        <v>-1.1393153104759235</v>
      </c>
      <c r="I5" s="13"/>
      <c r="J5" s="10">
        <v>-1.1995667190344683</v>
      </c>
      <c r="K5" s="11">
        <v>-1.159057693334963</v>
      </c>
      <c r="L5" s="12">
        <v>-1.1794669380666578</v>
      </c>
      <c r="M5" s="13"/>
      <c r="N5" s="10">
        <v>-1.3008882857309396</v>
      </c>
      <c r="O5" s="11">
        <v>-1.2828282862915501</v>
      </c>
      <c r="P5" s="12">
        <v>-1.2920084625948782</v>
      </c>
      <c r="Q5" s="13"/>
      <c r="R5" s="10">
        <v>-1.2808737879735403</v>
      </c>
      <c r="S5" s="11">
        <v>-1.2702343228546582</v>
      </c>
      <c r="T5" s="12">
        <v>-1.2756596114442857</v>
      </c>
      <c r="U5" s="13"/>
      <c r="V5" s="10">
        <v>-1.2244024839391032</v>
      </c>
      <c r="W5" s="11">
        <v>-1.23753030934175</v>
      </c>
      <c r="X5" s="12">
        <v>-1.2307700164916384</v>
      </c>
      <c r="Y5" s="13"/>
      <c r="Z5" s="10">
        <v>-1.1881811084640668</v>
      </c>
      <c r="AA5" s="11">
        <v>-1.1106269288043862</v>
      </c>
      <c r="AB5" s="12">
        <v>-1.1491210108255552</v>
      </c>
      <c r="AC5" s="13"/>
      <c r="AD5" s="10">
        <v>-1.1633364561886397</v>
      </c>
      <c r="AE5" s="11">
        <v>-1.1378733283421005</v>
      </c>
      <c r="AF5" s="12">
        <v>-1.1507828765224926</v>
      </c>
      <c r="AG5" s="13"/>
      <c r="AH5" s="10">
        <v>-1.4833929444880147</v>
      </c>
      <c r="AI5" s="11">
        <v>-1.3772257268162487</v>
      </c>
      <c r="AJ5" s="12">
        <v>-1.4290933741165424</v>
      </c>
      <c r="AK5" s="13"/>
    </row>
    <row r="6" spans="1:37" ht="16.5">
      <c r="A6" s="30">
        <v>2</v>
      </c>
      <c r="B6" s="11">
        <v>-1.2482713700005119</v>
      </c>
      <c r="C6" s="11">
        <v>-1.2060902889860654</v>
      </c>
      <c r="D6" s="12">
        <v>-1.2273209044445137</v>
      </c>
      <c r="E6" s="13"/>
      <c r="F6" s="10">
        <v>-1.0529219229132221</v>
      </c>
      <c r="G6" s="11">
        <v>-1.0009991172979613</v>
      </c>
      <c r="H6" s="12">
        <v>-1.0270730854502448</v>
      </c>
      <c r="I6" s="13"/>
      <c r="J6" s="10">
        <v>-1.1377253644533953</v>
      </c>
      <c r="K6" s="11">
        <v>-1.0733530126616093</v>
      </c>
      <c r="L6" s="12">
        <v>-1.1054931620988286</v>
      </c>
      <c r="M6" s="13"/>
      <c r="N6" s="10">
        <v>-1.2215537498283509</v>
      </c>
      <c r="O6" s="11">
        <v>-1.1769512130842383</v>
      </c>
      <c r="P6" s="12">
        <v>-1.199382018993584</v>
      </c>
      <c r="Q6" s="13"/>
      <c r="R6" s="10">
        <v>-1.1994285555271815</v>
      </c>
      <c r="S6" s="11">
        <v>-1.1587986927915868</v>
      </c>
      <c r="T6" s="12">
        <v>-1.1792678283331384</v>
      </c>
      <c r="U6" s="13"/>
      <c r="V6" s="10">
        <v>-1.1230471529817474</v>
      </c>
      <c r="W6" s="11">
        <v>-1.1005760900291686</v>
      </c>
      <c r="X6" s="12">
        <v>-1.111984110632724</v>
      </c>
      <c r="Y6" s="13"/>
      <c r="Z6" s="10">
        <v>-1.1426712858304264</v>
      </c>
      <c r="AA6" s="11">
        <v>-1.0453999629280153</v>
      </c>
      <c r="AB6" s="12">
        <v>-1.0933348058002088</v>
      </c>
      <c r="AC6" s="13"/>
      <c r="AD6" s="10">
        <v>-1.0463868502835159</v>
      </c>
      <c r="AE6" s="11">
        <v>-1.0078054280696105</v>
      </c>
      <c r="AF6" s="12">
        <v>-1.0272791625090567</v>
      </c>
      <c r="AG6" s="13"/>
      <c r="AH6" s="10">
        <v>-1.4168729131570437</v>
      </c>
      <c r="AI6" s="11">
        <v>-1.2912753803659804</v>
      </c>
      <c r="AJ6" s="12">
        <v>-1.3521595311804706</v>
      </c>
      <c r="AK6" s="13"/>
    </row>
    <row r="7" spans="1:37" ht="16.5">
      <c r="A7" s="30">
        <v>3</v>
      </c>
      <c r="B7" s="11">
        <v>-1.1910198660531051</v>
      </c>
      <c r="C7" s="11">
        <v>-1.1415199407859422</v>
      </c>
      <c r="D7" s="12">
        <v>-1.1663695111648762</v>
      </c>
      <c r="E7" s="13"/>
      <c r="F7" s="10">
        <v>-1.011641800202346</v>
      </c>
      <c r="G7" s="11">
        <v>-0.94932382970969997</v>
      </c>
      <c r="H7" s="12">
        <v>-0.98051169273159389</v>
      </c>
      <c r="I7" s="13"/>
      <c r="J7" s="10">
        <v>-1.1122189169025767</v>
      </c>
      <c r="K7" s="11">
        <v>-1.039688949985299</v>
      </c>
      <c r="L7" s="12">
        <v>-1.0757976651113399</v>
      </c>
      <c r="M7" s="13"/>
      <c r="N7" s="10">
        <v>-1.1859677355284142</v>
      </c>
      <c r="O7" s="11">
        <v>-1.1323859197276216</v>
      </c>
      <c r="P7" s="12">
        <v>-1.1592413135184099</v>
      </c>
      <c r="Q7" s="13"/>
      <c r="R7" s="10">
        <v>-1.1601037320689203</v>
      </c>
      <c r="S7" s="11">
        <v>-1.1075442776129736</v>
      </c>
      <c r="T7" s="12">
        <v>-1.1339041157033591</v>
      </c>
      <c r="U7" s="13"/>
      <c r="V7" s="10">
        <v>-1.0763916155281843</v>
      </c>
      <c r="W7" s="11">
        <v>-1.0398150394030004</v>
      </c>
      <c r="X7" s="12">
        <v>-1.0582869252092624</v>
      </c>
      <c r="Y7" s="13"/>
      <c r="Z7" s="10">
        <v>-1.1204664319857272</v>
      </c>
      <c r="AA7" s="11">
        <v>-1.0161031266207456</v>
      </c>
      <c r="AB7" s="12">
        <v>-1.0674114838312492</v>
      </c>
      <c r="AC7" s="13"/>
      <c r="AD7" s="10">
        <v>-0.99614963621114883</v>
      </c>
      <c r="AE7" s="11">
        <v>-0.95267015404496225</v>
      </c>
      <c r="AF7" s="12">
        <v>-0.9745854680761824</v>
      </c>
      <c r="AG7" s="13"/>
      <c r="AH7" s="10">
        <v>-1.3824458803830362</v>
      </c>
      <c r="AI7" s="11">
        <v>-1.2510802529977294</v>
      </c>
      <c r="AJ7" s="12">
        <v>-1.3146345295832591</v>
      </c>
      <c r="AK7" s="13"/>
    </row>
    <row r="8" spans="1:37" ht="16.5">
      <c r="A8" s="30">
        <v>4</v>
      </c>
      <c r="B8" s="11">
        <v>-1.1495155578742873</v>
      </c>
      <c r="C8" s="11">
        <v>-1.0955047349247578</v>
      </c>
      <c r="D8" s="12">
        <v>-1.1225793890829769</v>
      </c>
      <c r="E8" s="13"/>
      <c r="F8" s="10">
        <v>-0.99004099456392958</v>
      </c>
      <c r="G8" s="11">
        <v>-0.92335583908746821</v>
      </c>
      <c r="H8" s="12">
        <v>-0.95668616163910714</v>
      </c>
      <c r="I8" s="13"/>
      <c r="J8" s="10">
        <v>-1.095915405129446</v>
      </c>
      <c r="K8" s="11">
        <v>-1.0182341470351175</v>
      </c>
      <c r="L8" s="12">
        <v>-1.0568390913683008</v>
      </c>
      <c r="M8" s="13"/>
      <c r="N8" s="10">
        <v>-1.162235485562451</v>
      </c>
      <c r="O8" s="11">
        <v>-1.1053871731772904</v>
      </c>
      <c r="P8" s="12">
        <v>-1.133848489507731</v>
      </c>
      <c r="Q8" s="13"/>
      <c r="R8" s="10">
        <v>-1.1355661598497071</v>
      </c>
      <c r="S8" s="11">
        <v>-1.0767436947993454</v>
      </c>
      <c r="T8" s="12">
        <v>-1.1061781300895608</v>
      </c>
      <c r="U8" s="13"/>
      <c r="V8" s="10">
        <v>-1.0483131224481017</v>
      </c>
      <c r="W8" s="11">
        <v>-1.0046334008611115</v>
      </c>
      <c r="X8" s="12">
        <v>-1.0266375793312168</v>
      </c>
      <c r="Y8" s="13"/>
      <c r="Z8" s="10">
        <v>-1.1064494491943582</v>
      </c>
      <c r="AA8" s="11">
        <v>-0.99875000439963968</v>
      </c>
      <c r="AB8" s="12">
        <v>-1.0516452658577295</v>
      </c>
      <c r="AC8" s="13"/>
      <c r="AD8" s="10">
        <v>-0.96773940096371158</v>
      </c>
      <c r="AE8" s="11">
        <v>-0.9220865668115743</v>
      </c>
      <c r="AF8" s="12">
        <v>-0.94508557737724608</v>
      </c>
      <c r="AG8" s="13"/>
      <c r="AH8" s="10">
        <v>-1.3597144854110406</v>
      </c>
      <c r="AI8" s="11">
        <v>-1.2265311577755469</v>
      </c>
      <c r="AJ8" s="12">
        <v>-1.2909394381592718</v>
      </c>
      <c r="AK8" s="13"/>
    </row>
    <row r="9" spans="1:37" ht="16.5">
      <c r="A9" s="30">
        <v>5</v>
      </c>
      <c r="B9" s="11">
        <v>-1.1185632260148939</v>
      </c>
      <c r="C9" s="11">
        <v>-1.061325256602174</v>
      </c>
      <c r="D9" s="12">
        <v>-1.0899897929411233</v>
      </c>
      <c r="E9" s="13"/>
      <c r="F9" s="10">
        <v>-0.97803104804351482</v>
      </c>
      <c r="G9" s="11">
        <v>-0.90879111177777439</v>
      </c>
      <c r="H9" s="12">
        <v>-0.94337274491278955</v>
      </c>
      <c r="I9" s="13"/>
      <c r="J9" s="10">
        <v>-1.0839281949744348</v>
      </c>
      <c r="K9" s="11">
        <v>-1.0034528162299363</v>
      </c>
      <c r="L9" s="12">
        <v>-1.0434107208936003</v>
      </c>
      <c r="M9" s="13"/>
      <c r="N9" s="10">
        <v>-1.1443836734991739</v>
      </c>
      <c r="O9" s="11">
        <v>-1.0842444395521329</v>
      </c>
      <c r="P9" s="12">
        <v>-1.1143192900977046</v>
      </c>
      <c r="Q9" s="13"/>
      <c r="R9" s="10">
        <v>-1.1183426521790116</v>
      </c>
      <c r="S9" s="11">
        <v>-1.0557703137725243</v>
      </c>
      <c r="T9" s="12">
        <v>-1.0870408602371626</v>
      </c>
      <c r="U9" s="13"/>
      <c r="V9" s="10">
        <v>-1.0292629455595335</v>
      </c>
      <c r="W9" s="11">
        <v>-0.98147966750972182</v>
      </c>
      <c r="X9" s="12">
        <v>-1.005518141540678</v>
      </c>
      <c r="Y9" s="13"/>
      <c r="Z9" s="10">
        <v>-1.0965955555752871</v>
      </c>
      <c r="AA9" s="11">
        <v>-0.98713578518709799</v>
      </c>
      <c r="AB9" s="12">
        <v>-1.040870571612214</v>
      </c>
      <c r="AC9" s="13"/>
      <c r="AD9" s="10">
        <v>-0.9494788835701552</v>
      </c>
      <c r="AE9" s="11">
        <v>-0.90273094854934122</v>
      </c>
      <c r="AF9" s="12">
        <v>-0.92627696607578747</v>
      </c>
      <c r="AG9" s="13"/>
      <c r="AH9" s="10">
        <v>-1.3430952157810709</v>
      </c>
      <c r="AI9" s="11">
        <v>-1.2095785232792193</v>
      </c>
      <c r="AJ9" s="12">
        <v>-1.2741582599497068</v>
      </c>
      <c r="AK9" s="13"/>
    </row>
    <row r="10" spans="1:37" ht="16.5">
      <c r="A10" s="30">
        <v>10</v>
      </c>
      <c r="B10" s="11">
        <v>-1.0393562968308907</v>
      </c>
      <c r="C10" s="11">
        <v>-0.97867737240738273</v>
      </c>
      <c r="D10" s="12">
        <v>-1.0090525505490437</v>
      </c>
      <c r="E10" s="13"/>
      <c r="F10" s="10">
        <v>-0.94784307566733739</v>
      </c>
      <c r="G10" s="11">
        <v>-0.87426674682746675</v>
      </c>
      <c r="H10" s="12">
        <v>-0.9109759656016303</v>
      </c>
      <c r="I10" s="13"/>
      <c r="J10" s="10">
        <v>-1.0472539080439389</v>
      </c>
      <c r="K10" s="11">
        <v>-0.96210277111891918</v>
      </c>
      <c r="L10" s="12">
        <v>-1.0043334640576214</v>
      </c>
      <c r="M10" s="13"/>
      <c r="N10" s="10">
        <v>-1.0968312103313975</v>
      </c>
      <c r="O10" s="11">
        <v>-1.0329081865332934</v>
      </c>
      <c r="P10" s="12">
        <v>-1.0648450322432061</v>
      </c>
      <c r="Q10" s="13"/>
      <c r="R10" s="10">
        <v>-1.0743948523980273</v>
      </c>
      <c r="S10" s="11">
        <v>-1.0059690881890577</v>
      </c>
      <c r="T10" s="12">
        <v>-1.0401061476730076</v>
      </c>
      <c r="U10" s="13"/>
      <c r="V10" s="10">
        <v>-0.98369901448796815</v>
      </c>
      <c r="W10" s="11">
        <v>-0.93040263712809212</v>
      </c>
      <c r="X10" s="12">
        <v>-0.95717334253081887</v>
      </c>
      <c r="Y10" s="13"/>
      <c r="Z10" s="10">
        <v>-1.0710479766829692</v>
      </c>
      <c r="AA10" s="11">
        <v>-0.96012756983373815</v>
      </c>
      <c r="AB10" s="12">
        <v>-1.0145804306666857</v>
      </c>
      <c r="AC10" s="13"/>
      <c r="AD10" s="10">
        <v>-0.91071238550681488</v>
      </c>
      <c r="AE10" s="11">
        <v>-0.86341317190230826</v>
      </c>
      <c r="AF10" s="12">
        <v>-0.88724264033592859</v>
      </c>
      <c r="AG10" s="13"/>
      <c r="AH10" s="10">
        <v>-1.2967451336857732</v>
      </c>
      <c r="AI10" s="11">
        <v>-1.1678086462282879</v>
      </c>
      <c r="AJ10" s="12">
        <v>-1.2303496154337019</v>
      </c>
      <c r="AK10" s="13"/>
    </row>
    <row r="11" spans="1:37" ht="16.5">
      <c r="A11" s="30">
        <v>15</v>
      </c>
      <c r="B11" s="11">
        <v>-0.99810318323243907</v>
      </c>
      <c r="C11" s="11">
        <v>-0.93456378789298888</v>
      </c>
      <c r="D11" s="12">
        <v>-0.96635456814626275</v>
      </c>
      <c r="E11" s="13"/>
      <c r="F11" s="10">
        <v>-0.92724294571284704</v>
      </c>
      <c r="G11" s="11">
        <v>-0.85272014880258951</v>
      </c>
      <c r="H11" s="12">
        <v>-0.88990310948808893</v>
      </c>
      <c r="I11" s="13"/>
      <c r="J11" s="10">
        <v>-1.0232404683298353</v>
      </c>
      <c r="K11" s="11">
        <v>-0.93688771389348002</v>
      </c>
      <c r="L11" s="12">
        <v>-0.97971406825728613</v>
      </c>
      <c r="M11" s="13"/>
      <c r="N11" s="10">
        <v>-1.0631132391187417</v>
      </c>
      <c r="O11" s="11">
        <v>-0.99562585121052949</v>
      </c>
      <c r="P11" s="12">
        <v>-1.0293119689456429</v>
      </c>
      <c r="Q11" s="13"/>
      <c r="R11" s="10">
        <v>-1.046640904616448</v>
      </c>
      <c r="S11" s="11">
        <v>-0.9778828398588445</v>
      </c>
      <c r="T11" s="12">
        <v>-1.0121945536850772</v>
      </c>
      <c r="U11" s="13"/>
      <c r="V11" s="10">
        <v>-0.95845256110003996</v>
      </c>
      <c r="W11" s="11">
        <v>-0.90544375058891757</v>
      </c>
      <c r="X11" s="12">
        <v>-0.93208088942572564</v>
      </c>
      <c r="Y11" s="13"/>
      <c r="Z11" s="10">
        <v>-1.0502865418043261</v>
      </c>
      <c r="AA11" s="11">
        <v>-0.93957838384724868</v>
      </c>
      <c r="AB11" s="12">
        <v>-0.99395789712628757</v>
      </c>
      <c r="AC11" s="13"/>
      <c r="AD11" s="10">
        <v>-0.89415623808717182</v>
      </c>
      <c r="AE11" s="11">
        <v>-0.84720717813866564</v>
      </c>
      <c r="AF11" s="12">
        <v>-0.87086768371809842</v>
      </c>
      <c r="AG11" s="13"/>
      <c r="AH11" s="10">
        <v>-1.2584276949461242</v>
      </c>
      <c r="AI11" s="11">
        <v>-1.1373286585570146</v>
      </c>
      <c r="AJ11" s="12">
        <v>-1.1963047021648439</v>
      </c>
      <c r="AK11" s="13"/>
    </row>
    <row r="12" spans="1:37" ht="16.5">
      <c r="A12" s="30">
        <v>20</v>
      </c>
      <c r="B12" s="11">
        <v>-0.9416333856114224</v>
      </c>
      <c r="C12" s="11">
        <v>-0.88577608039760869</v>
      </c>
      <c r="D12" s="12">
        <v>-0.91382222014342573</v>
      </c>
      <c r="E12" s="13"/>
      <c r="F12" s="10">
        <v>-0.89806980739238718</v>
      </c>
      <c r="G12" s="11">
        <v>-0.82207221968309652</v>
      </c>
      <c r="H12" s="12">
        <v>-0.85999289910331278</v>
      </c>
      <c r="I12" s="13"/>
      <c r="J12" s="10">
        <v>-0.98210627496614655</v>
      </c>
      <c r="K12" s="11">
        <v>-0.90144694160929184</v>
      </c>
      <c r="L12" s="12">
        <v>-0.94156371692343144</v>
      </c>
      <c r="M12" s="13"/>
      <c r="N12" s="10">
        <v>-1.0130422551600544</v>
      </c>
      <c r="O12" s="11">
        <v>-0.94491044364009291</v>
      </c>
      <c r="P12" s="12">
        <v>-0.97893414503700538</v>
      </c>
      <c r="Q12" s="13"/>
      <c r="R12" s="10">
        <v>-1.0066773582389617</v>
      </c>
      <c r="S12" s="11">
        <v>-0.93810586936643969</v>
      </c>
      <c r="T12" s="12">
        <v>-0.97234684182353814</v>
      </c>
      <c r="U12" s="13"/>
      <c r="V12" s="10">
        <v>-0.92315126707712025</v>
      </c>
      <c r="W12" s="11">
        <v>-0.87353503704912039</v>
      </c>
      <c r="X12" s="12">
        <v>-0.89850801280079284</v>
      </c>
      <c r="Y12" s="13"/>
      <c r="Z12" s="10">
        <v>-1.0150860472583132</v>
      </c>
      <c r="AA12" s="11">
        <v>-0.90716031396523533</v>
      </c>
      <c r="AB12" s="12">
        <v>-0.96027265708124088</v>
      </c>
      <c r="AC12" s="13"/>
      <c r="AD12" s="10">
        <v>-0.87450042882312029</v>
      </c>
      <c r="AE12" s="11">
        <v>-0.82539225007655914</v>
      </c>
      <c r="AF12" s="12">
        <v>-0.85012871104987098</v>
      </c>
      <c r="AG12" s="13"/>
      <c r="AH12" s="10">
        <v>-1.2020971767372759</v>
      </c>
      <c r="AI12" s="11">
        <v>-1.0804886999840153</v>
      </c>
      <c r="AJ12" s="12">
        <v>-1.1397670872678705</v>
      </c>
      <c r="AK12" s="13"/>
    </row>
    <row r="13" spans="1:37" ht="16.5">
      <c r="A13" s="30">
        <v>25</v>
      </c>
      <c r="B13" s="11">
        <v>-0.86920613351053932</v>
      </c>
      <c r="C13" s="11">
        <v>-0.83063229603261535</v>
      </c>
      <c r="D13" s="12">
        <v>-0.85013265027358209</v>
      </c>
      <c r="E13" s="13"/>
      <c r="F13" s="10">
        <v>-0.85624317643298331</v>
      </c>
      <c r="G13" s="11">
        <v>-0.78407707634718316</v>
      </c>
      <c r="H13" s="12">
        <v>-0.82016153698599226</v>
      </c>
      <c r="I13" s="13"/>
      <c r="J13" s="10">
        <v>-0.92677804853722057</v>
      </c>
      <c r="K13" s="11">
        <v>-0.85645781794940679</v>
      </c>
      <c r="L13" s="12">
        <v>-0.89159541950333177</v>
      </c>
      <c r="M13" s="13"/>
      <c r="N13" s="10">
        <v>-0.94848666240099744</v>
      </c>
      <c r="O13" s="11">
        <v>-0.88412226434856211</v>
      </c>
      <c r="P13" s="12">
        <v>-0.91633966970304337</v>
      </c>
      <c r="Q13" s="13"/>
      <c r="R13" s="10">
        <v>-0.95393531432576628</v>
      </c>
      <c r="S13" s="11">
        <v>-0.88761866143951096</v>
      </c>
      <c r="T13" s="12">
        <v>-0.92078751270821424</v>
      </c>
      <c r="U13" s="13"/>
      <c r="V13" s="10">
        <v>-0.87349840309173321</v>
      </c>
      <c r="W13" s="11">
        <v>-0.83129607238447223</v>
      </c>
      <c r="X13" s="12">
        <v>-0.85260372725110611</v>
      </c>
      <c r="Y13" s="13"/>
      <c r="Z13" s="10">
        <v>-0.9647131081248087</v>
      </c>
      <c r="AA13" s="11">
        <v>-0.86333072661403887</v>
      </c>
      <c r="AB13" s="12">
        <v>-0.91340188916165455</v>
      </c>
      <c r="AC13" s="13"/>
      <c r="AD13" s="10">
        <v>-0.85199651738132753</v>
      </c>
      <c r="AE13" s="11">
        <v>-0.80007848789024438</v>
      </c>
      <c r="AF13" s="12">
        <v>-0.82621367305749993</v>
      </c>
      <c r="AG13" s="13"/>
      <c r="AH13" s="10">
        <v>-1.1288734881539861</v>
      </c>
      <c r="AI13" s="11">
        <v>-1.0091545452278041</v>
      </c>
      <c r="AJ13" s="12">
        <v>-1.0676500016116774</v>
      </c>
      <c r="AK13" s="13"/>
    </row>
    <row r="14" spans="1:37" ht="16.5">
      <c r="A14" s="30">
        <v>30</v>
      </c>
      <c r="B14" s="11">
        <v>-0.80208481424719991</v>
      </c>
      <c r="C14" s="11">
        <v>-0.77200338720246053</v>
      </c>
      <c r="D14" s="12">
        <v>-0.78726242697886062</v>
      </c>
      <c r="E14" s="13"/>
      <c r="F14" s="10">
        <v>-0.81703262635799434</v>
      </c>
      <c r="G14" s="11">
        <v>-0.74309524259921955</v>
      </c>
      <c r="H14" s="12">
        <v>-0.78007392332133241</v>
      </c>
      <c r="I14" s="13"/>
      <c r="J14" s="10">
        <v>-0.87581973706212179</v>
      </c>
      <c r="K14" s="11">
        <v>-0.80848565605858569</v>
      </c>
      <c r="L14" s="12">
        <v>-0.84219551169775642</v>
      </c>
      <c r="M14" s="13"/>
      <c r="N14" s="10">
        <v>-0.88773038554625583</v>
      </c>
      <c r="O14" s="11">
        <v>-0.82136257147134217</v>
      </c>
      <c r="P14" s="12">
        <v>-0.85459253778955946</v>
      </c>
      <c r="Q14" s="13"/>
      <c r="R14" s="10">
        <v>-0.89866730377103976</v>
      </c>
      <c r="S14" s="11">
        <v>-0.83222308793731981</v>
      </c>
      <c r="T14" s="12">
        <v>-0.86548423243967132</v>
      </c>
      <c r="U14" s="13"/>
      <c r="V14" s="10">
        <v>-0.82033636123203002</v>
      </c>
      <c r="W14" s="11">
        <v>-0.78283972989421957</v>
      </c>
      <c r="X14" s="12">
        <v>-0.80181167051167068</v>
      </c>
      <c r="Y14" s="13"/>
      <c r="Z14" s="10">
        <v>-0.90619214535438797</v>
      </c>
      <c r="AA14" s="11">
        <v>-0.8133994064171739</v>
      </c>
      <c r="AB14" s="12">
        <v>-0.85942988943351351</v>
      </c>
      <c r="AC14" s="13"/>
      <c r="AD14" s="10">
        <v>-0.82525148937465609</v>
      </c>
      <c r="AE14" s="11">
        <v>-0.77265085642340681</v>
      </c>
      <c r="AF14" s="12">
        <v>-0.79913387266610292</v>
      </c>
      <c r="AG14" s="13"/>
      <c r="AH14" s="10">
        <v>-1.0542887641476515</v>
      </c>
      <c r="AI14" s="11">
        <v>-0.92980046902338365</v>
      </c>
      <c r="AJ14" s="12">
        <v>-0.99062910462860476</v>
      </c>
      <c r="AK14" s="13"/>
    </row>
    <row r="15" spans="1:37" ht="16.5">
      <c r="A15" s="30">
        <v>35</v>
      </c>
      <c r="B15" s="11">
        <v>-0.73732351213430469</v>
      </c>
      <c r="C15" s="11">
        <v>-0.71174620737879146</v>
      </c>
      <c r="D15" s="12">
        <v>-0.72474545944961821</v>
      </c>
      <c r="E15" s="13"/>
      <c r="F15" s="10">
        <v>-0.77189439731086973</v>
      </c>
      <c r="G15" s="11">
        <v>-0.70212800843649648</v>
      </c>
      <c r="H15" s="12">
        <v>-0.73709896740170688</v>
      </c>
      <c r="I15" s="13"/>
      <c r="J15" s="10">
        <v>-0.82474303239272606</v>
      </c>
      <c r="K15" s="11">
        <v>-0.75720799673579831</v>
      </c>
      <c r="L15" s="12">
        <v>-0.79104803230330434</v>
      </c>
      <c r="M15" s="13"/>
      <c r="N15" s="10">
        <v>-0.8259381775987652</v>
      </c>
      <c r="O15" s="11">
        <v>-0.75642199010305966</v>
      </c>
      <c r="P15" s="12">
        <v>-0.79123192333414838</v>
      </c>
      <c r="Q15" s="13"/>
      <c r="R15" s="10">
        <v>-0.83892900424050876</v>
      </c>
      <c r="S15" s="11">
        <v>-0.77161320305701064</v>
      </c>
      <c r="T15" s="12">
        <v>-0.80533674084601292</v>
      </c>
      <c r="U15" s="13"/>
      <c r="V15" s="10">
        <v>-0.76499734025632826</v>
      </c>
      <c r="W15" s="11">
        <v>-0.72849764284715601</v>
      </c>
      <c r="X15" s="12">
        <v>-0.74698178006061289</v>
      </c>
      <c r="Y15" s="13"/>
      <c r="Z15" s="10">
        <v>-0.83923693872373062</v>
      </c>
      <c r="AA15" s="11">
        <v>-0.75721715673773493</v>
      </c>
      <c r="AB15" s="12">
        <v>-0.79811278644829187</v>
      </c>
      <c r="AC15" s="13"/>
      <c r="AD15" s="10">
        <v>-0.79365981762532156</v>
      </c>
      <c r="AE15" s="11">
        <v>-0.74049729279719156</v>
      </c>
      <c r="AF15" s="12">
        <v>-0.76727112704576261</v>
      </c>
      <c r="AG15" s="13"/>
      <c r="AH15" s="10">
        <v>-0.97569648537959053</v>
      </c>
      <c r="AI15" s="11">
        <v>-0.84833379009184517</v>
      </c>
      <c r="AJ15" s="12">
        <v>-0.91064427322153885</v>
      </c>
      <c r="AK15" s="13"/>
    </row>
    <row r="16" spans="1:37" ht="16.5">
      <c r="A16" s="30">
        <v>40</v>
      </c>
      <c r="B16" s="11">
        <v>-0.67218441284437103</v>
      </c>
      <c r="C16" s="11">
        <v>-0.6489531581506035</v>
      </c>
      <c r="D16" s="12">
        <v>-0.66077403595339856</v>
      </c>
      <c r="E16" s="13"/>
      <c r="F16" s="10">
        <v>-0.72231250461550289</v>
      </c>
      <c r="G16" s="11">
        <v>-0.65777314927556685</v>
      </c>
      <c r="H16" s="12">
        <v>-0.69020740216054988</v>
      </c>
      <c r="I16" s="13"/>
      <c r="J16" s="10">
        <v>-0.76681316903129526</v>
      </c>
      <c r="K16" s="11">
        <v>-0.70143650532592283</v>
      </c>
      <c r="L16" s="12">
        <v>-0.73425391825061403</v>
      </c>
      <c r="M16" s="13"/>
      <c r="N16" s="10">
        <v>-0.75696780176204026</v>
      </c>
      <c r="O16" s="11">
        <v>-0.68862800696556059</v>
      </c>
      <c r="P16" s="12">
        <v>-0.72290929940989257</v>
      </c>
      <c r="Q16" s="13"/>
      <c r="R16" s="10">
        <v>-0.76900214861344063</v>
      </c>
      <c r="S16" s="11">
        <v>-0.70536613769800149</v>
      </c>
      <c r="T16" s="12">
        <v>-0.73732521540819207</v>
      </c>
      <c r="U16" s="13"/>
      <c r="V16" s="10">
        <v>-0.70183279550258593</v>
      </c>
      <c r="W16" s="11">
        <v>-0.66699966992332982</v>
      </c>
      <c r="X16" s="12">
        <v>-0.68466078405407993</v>
      </c>
      <c r="Y16" s="13"/>
      <c r="Z16" s="10">
        <v>-0.76234390192874779</v>
      </c>
      <c r="AA16" s="11">
        <v>-0.69395419478897202</v>
      </c>
      <c r="AB16" s="12">
        <v>-0.72825614907823566</v>
      </c>
      <c r="AC16" s="13"/>
      <c r="AD16" s="10">
        <v>-0.75164519039577127</v>
      </c>
      <c r="AE16" s="11">
        <v>-0.70235976813420853</v>
      </c>
      <c r="AF16" s="12">
        <v>-0.72722638667575878</v>
      </c>
      <c r="AG16" s="13"/>
      <c r="AH16" s="10">
        <v>-0.88249335126163675</v>
      </c>
      <c r="AI16" s="11">
        <v>-0.75990349121858303</v>
      </c>
      <c r="AJ16" s="12">
        <v>-0.82015811297739749</v>
      </c>
      <c r="AK16" s="13"/>
    </row>
    <row r="17" spans="1:37" ht="16.5">
      <c r="A17" s="30">
        <v>45</v>
      </c>
      <c r="B17" s="11">
        <v>-0.6004320886314537</v>
      </c>
      <c r="C17" s="11">
        <v>-0.58010435644994485</v>
      </c>
      <c r="D17" s="12">
        <v>-0.5904613819796557</v>
      </c>
      <c r="E17" s="13"/>
      <c r="F17" s="10">
        <v>-0.66038885146608195</v>
      </c>
      <c r="G17" s="11">
        <v>-0.60809129187599065</v>
      </c>
      <c r="H17" s="12">
        <v>-0.63449440257961387</v>
      </c>
      <c r="I17" s="13"/>
      <c r="J17" s="10">
        <v>-0.69542221623109723</v>
      </c>
      <c r="K17" s="11">
        <v>-0.64063233149904941</v>
      </c>
      <c r="L17" s="12">
        <v>-0.66825754255920489</v>
      </c>
      <c r="M17" s="13"/>
      <c r="N17" s="10">
        <v>-0.67555110779524841</v>
      </c>
      <c r="O17" s="11">
        <v>-0.61631192568392912</v>
      </c>
      <c r="P17" s="12">
        <v>-0.6461549890735192</v>
      </c>
      <c r="Q17" s="13"/>
      <c r="R17" s="10">
        <v>-0.68452755415039701</v>
      </c>
      <c r="S17" s="11">
        <v>-0.63225842771700302</v>
      </c>
      <c r="T17" s="12">
        <v>-0.65863624320988357</v>
      </c>
      <c r="U17" s="13"/>
      <c r="V17" s="10">
        <v>-0.62880773360974529</v>
      </c>
      <c r="W17" s="11">
        <v>-0.60046026168439803</v>
      </c>
      <c r="X17" s="12">
        <v>-0.61486976875483901</v>
      </c>
      <c r="Y17" s="13"/>
      <c r="Z17" s="10">
        <v>-0.6711970968607226</v>
      </c>
      <c r="AA17" s="11">
        <v>-0.6221649719644059</v>
      </c>
      <c r="AB17" s="12">
        <v>-0.64693684203124879</v>
      </c>
      <c r="AC17" s="13"/>
      <c r="AD17" s="10">
        <v>-0.69326994243107731</v>
      </c>
      <c r="AE17" s="11">
        <v>-0.65475747939209794</v>
      </c>
      <c r="AF17" s="12">
        <v>-0.67426555172973057</v>
      </c>
      <c r="AG17" s="13"/>
      <c r="AH17" s="10">
        <v>-0.76613627751817992</v>
      </c>
      <c r="AI17" s="11">
        <v>-0.66328540643333778</v>
      </c>
      <c r="AJ17" s="12">
        <v>-0.71434382020737908</v>
      </c>
      <c r="AK17" s="13"/>
    </row>
    <row r="18" spans="1:37" ht="16.5">
      <c r="A18" s="30">
        <v>50</v>
      </c>
      <c r="B18" s="11">
        <v>-0.52059834010621253</v>
      </c>
      <c r="C18" s="11">
        <v>-0.50864167857923615</v>
      </c>
      <c r="D18" s="12">
        <v>-0.51474890543256313</v>
      </c>
      <c r="E18" s="13"/>
      <c r="F18" s="10">
        <v>-0.58383201720449152</v>
      </c>
      <c r="G18" s="11">
        <v>-0.55207839286799509</v>
      </c>
      <c r="H18" s="12">
        <v>-0.56821295557201257</v>
      </c>
      <c r="I18" s="13"/>
      <c r="J18" s="10">
        <v>-0.60294976503765141</v>
      </c>
      <c r="K18" s="11">
        <v>-0.56974874560225386</v>
      </c>
      <c r="L18" s="12">
        <v>-0.58660888869906025</v>
      </c>
      <c r="M18" s="13"/>
      <c r="N18" s="10">
        <v>-0.57720150892943201</v>
      </c>
      <c r="O18" s="11">
        <v>-0.53540369879947558</v>
      </c>
      <c r="P18" s="12">
        <v>-0.55659173180953114</v>
      </c>
      <c r="Q18" s="13"/>
      <c r="R18" s="10">
        <v>-0.58094867734309374</v>
      </c>
      <c r="S18" s="11">
        <v>-0.54716064042354773</v>
      </c>
      <c r="T18" s="12">
        <v>-0.56432091512237914</v>
      </c>
      <c r="U18" s="13"/>
      <c r="V18" s="10">
        <v>-0.54108062841558313</v>
      </c>
      <c r="W18" s="11">
        <v>-0.52475683123313599</v>
      </c>
      <c r="X18" s="12">
        <v>-0.53308533086731669</v>
      </c>
      <c r="Y18" s="13"/>
      <c r="Z18" s="10">
        <v>-0.56384767366345356</v>
      </c>
      <c r="AA18" s="11">
        <v>-0.53845646658316093</v>
      </c>
      <c r="AB18" s="12">
        <v>-0.55138093446046721</v>
      </c>
      <c r="AC18" s="13"/>
      <c r="AD18" s="10">
        <v>-0.61220227452864118</v>
      </c>
      <c r="AE18" s="11">
        <v>-0.59318271250818688</v>
      </c>
      <c r="AF18" s="12">
        <v>-0.60287571665257278</v>
      </c>
      <c r="AG18" s="13"/>
      <c r="AH18" s="10">
        <v>-0.62670947651035669</v>
      </c>
      <c r="AI18" s="11">
        <v>-0.55100258597708962</v>
      </c>
      <c r="AJ18" s="12">
        <v>-0.58902155074061435</v>
      </c>
      <c r="AK18" s="13"/>
    </row>
    <row r="19" spans="1:37" ht="16.5">
      <c r="A19" s="30">
        <v>55</v>
      </c>
      <c r="B19" s="11">
        <v>-0.4210143479136163</v>
      </c>
      <c r="C19" s="11">
        <v>-0.42279162488953242</v>
      </c>
      <c r="D19" s="12">
        <v>-0.42188099777551347</v>
      </c>
      <c r="E19" s="13"/>
      <c r="F19" s="10">
        <v>-0.48460666195853785</v>
      </c>
      <c r="G19" s="11">
        <v>-0.48008226256731529</v>
      </c>
      <c r="H19" s="12">
        <v>-0.48239734581505644</v>
      </c>
      <c r="I19" s="13"/>
      <c r="J19" s="10">
        <v>-0.48163530200651361</v>
      </c>
      <c r="K19" s="11">
        <v>-0.48057184541702924</v>
      </c>
      <c r="L19" s="12">
        <v>-0.48111641634940366</v>
      </c>
      <c r="M19" s="13"/>
      <c r="N19" s="10">
        <v>-0.45582055810755873</v>
      </c>
      <c r="O19" s="11">
        <v>-0.43713086722588262</v>
      </c>
      <c r="P19" s="12">
        <v>-0.44666706004400114</v>
      </c>
      <c r="Q19" s="13"/>
      <c r="R19" s="10">
        <v>-0.45326106749569572</v>
      </c>
      <c r="S19" s="11">
        <v>-0.44323137082095437</v>
      </c>
      <c r="T19" s="12">
        <v>-0.44835796349979135</v>
      </c>
      <c r="U19" s="13"/>
      <c r="V19" s="10">
        <v>-0.43585768714556955</v>
      </c>
      <c r="W19" s="11">
        <v>-0.43556495327993272</v>
      </c>
      <c r="X19" s="12">
        <v>-0.43571488135780162</v>
      </c>
      <c r="Y19" s="13"/>
      <c r="Z19" s="10">
        <v>-0.43703161561582232</v>
      </c>
      <c r="AA19" s="11">
        <v>-0.43953098156102932</v>
      </c>
      <c r="AB19" s="12">
        <v>-0.43825017515829218</v>
      </c>
      <c r="AC19" s="13"/>
      <c r="AD19" s="10">
        <v>-0.49853690313936261</v>
      </c>
      <c r="AE19" s="11">
        <v>-0.50478780240560761</v>
      </c>
      <c r="AF19" s="12">
        <v>-0.50158159850136086</v>
      </c>
      <c r="AG19" s="13"/>
      <c r="AH19" s="10">
        <v>-0.45301757708338514</v>
      </c>
      <c r="AI19" s="11">
        <v>-0.41811474277860278</v>
      </c>
      <c r="AJ19" s="12">
        <v>-0.43586698400272489</v>
      </c>
      <c r="AK19" s="13"/>
    </row>
    <row r="20" spans="1:37" ht="16.5">
      <c r="A20" s="30">
        <v>60</v>
      </c>
      <c r="B20" s="11">
        <v>-0.30682105927662073</v>
      </c>
      <c r="C20" s="11">
        <v>-0.32102416945414897</v>
      </c>
      <c r="D20" s="12">
        <v>-0.31373408763068089</v>
      </c>
      <c r="E20" s="13"/>
      <c r="F20" s="10">
        <v>-0.35965748316759905</v>
      </c>
      <c r="G20" s="11">
        <v>-0.38856998615937</v>
      </c>
      <c r="H20" s="12">
        <v>-0.37368650277193127</v>
      </c>
      <c r="I20" s="13"/>
      <c r="J20" s="10">
        <v>-0.33065389097350745</v>
      </c>
      <c r="K20" s="11">
        <v>-0.36529580454443744</v>
      </c>
      <c r="L20" s="12">
        <v>-0.34745214284807552</v>
      </c>
      <c r="M20" s="13"/>
      <c r="N20" s="10">
        <v>-0.30741359919534794</v>
      </c>
      <c r="O20" s="11">
        <v>-0.3186589915311997</v>
      </c>
      <c r="P20" s="12">
        <v>-0.31288957869926254</v>
      </c>
      <c r="Q20" s="13"/>
      <c r="R20" s="10">
        <v>-0.29911364237741156</v>
      </c>
      <c r="S20" s="11">
        <v>-0.31406112015068494</v>
      </c>
      <c r="T20" s="12">
        <v>-0.30638850188113298</v>
      </c>
      <c r="U20" s="13"/>
      <c r="V20" s="10">
        <v>-0.3058559776781018</v>
      </c>
      <c r="W20" s="11">
        <v>-0.32296636211891477</v>
      </c>
      <c r="X20" s="12">
        <v>-0.31418024480435675</v>
      </c>
      <c r="Y20" s="13"/>
      <c r="Z20" s="10">
        <v>-0.28488959589637947</v>
      </c>
      <c r="AA20" s="11">
        <v>-0.31582521602954122</v>
      </c>
      <c r="AB20" s="12">
        <v>-0.29991045695152813</v>
      </c>
      <c r="AC20" s="13"/>
      <c r="AD20" s="10">
        <v>-0.35346688287997491</v>
      </c>
      <c r="AE20" s="11">
        <v>-0.3819049681108318</v>
      </c>
      <c r="AF20" s="12">
        <v>-0.36726804262929957</v>
      </c>
      <c r="AG20" s="13"/>
      <c r="AH20" s="10">
        <v>-0.2587641628918303</v>
      </c>
      <c r="AI20" s="11">
        <v>-0.26090675497381943</v>
      </c>
      <c r="AJ20" s="12">
        <v>-0.25980903827471019</v>
      </c>
      <c r="AK20" s="13"/>
    </row>
    <row r="21" spans="1:37" ht="16.5">
      <c r="A21" s="30">
        <v>65</v>
      </c>
      <c r="B21" s="11">
        <v>-0.16058401337471645</v>
      </c>
      <c r="C21" s="11">
        <v>-0.18761837894537206</v>
      </c>
      <c r="D21" s="12">
        <v>-0.17374005998585826</v>
      </c>
      <c r="E21" s="13"/>
      <c r="F21" s="10">
        <v>-0.20182323747925654</v>
      </c>
      <c r="G21" s="11">
        <v>-0.25906906882787523</v>
      </c>
      <c r="H21" s="12">
        <v>-0.22956293913585316</v>
      </c>
      <c r="I21" s="13"/>
      <c r="J21" s="10">
        <v>-0.14845486484458761</v>
      </c>
      <c r="K21" s="11">
        <v>-0.21177193364854202</v>
      </c>
      <c r="L21" s="12">
        <v>-0.17916315353789958</v>
      </c>
      <c r="M21" s="13"/>
      <c r="N21" s="10">
        <v>-0.1262176157653675</v>
      </c>
      <c r="O21" s="11">
        <v>-0.16637525937102554</v>
      </c>
      <c r="P21" s="12">
        <v>-0.14574826715382799</v>
      </c>
      <c r="Q21" s="13"/>
      <c r="R21" s="10">
        <v>-0.11199770547699364</v>
      </c>
      <c r="S21" s="11">
        <v>-0.15350037229977559</v>
      </c>
      <c r="T21" s="12">
        <v>-0.13218620461701416</v>
      </c>
      <c r="U21" s="13"/>
      <c r="V21" s="10">
        <v>-0.14915056721420669</v>
      </c>
      <c r="W21" s="11">
        <v>-0.17952558587335707</v>
      </c>
      <c r="X21" s="12">
        <v>-0.16393013963479114</v>
      </c>
      <c r="Y21" s="13"/>
      <c r="Z21" s="10">
        <v>-0.10278554308538844</v>
      </c>
      <c r="AA21" s="11">
        <v>-0.16229796173468999</v>
      </c>
      <c r="AB21" s="12">
        <v>-0.13169968019147368</v>
      </c>
      <c r="AC21" s="13"/>
      <c r="AD21" s="10">
        <v>-0.16663739479840983</v>
      </c>
      <c r="AE21" s="11">
        <v>-0.21583061600481526</v>
      </c>
      <c r="AF21" s="12">
        <v>-0.19052003062784928</v>
      </c>
      <c r="AG21" s="13"/>
      <c r="AH21" s="10">
        <v>-2.1837494033351626E-2</v>
      </c>
      <c r="AI21" s="11">
        <v>-7.7120117150925163E-2</v>
      </c>
      <c r="AJ21" s="12">
        <v>-4.8767068666167784E-2</v>
      </c>
      <c r="AK21" s="13"/>
    </row>
    <row r="22" spans="1:37" ht="16.5">
      <c r="A22" s="30">
        <v>70</v>
      </c>
      <c r="B22" s="11">
        <v>2.5027307118656625E-2</v>
      </c>
      <c r="C22" s="11">
        <v>-1.046876480077538E-2</v>
      </c>
      <c r="D22" s="12">
        <v>7.709813626405328E-3</v>
      </c>
      <c r="E22" s="13"/>
      <c r="F22" s="10">
        <v>-3.6304814007426826E-3</v>
      </c>
      <c r="G22" s="11">
        <v>-7.9751647450351681E-2</v>
      </c>
      <c r="H22" s="12">
        <v>-4.0702942595531359E-2</v>
      </c>
      <c r="I22" s="13"/>
      <c r="J22" s="10">
        <v>7.4350889929898981E-2</v>
      </c>
      <c r="K22" s="11">
        <v>-6.4627267002444113E-3</v>
      </c>
      <c r="L22" s="12">
        <v>3.4873769526037102E-2</v>
      </c>
      <c r="M22" s="13"/>
      <c r="N22" s="10">
        <v>9.2839228680570429E-2</v>
      </c>
      <c r="O22" s="11">
        <v>2.5988333390229997E-2</v>
      </c>
      <c r="P22" s="12">
        <v>6.0162515402529336E-2</v>
      </c>
      <c r="Q22" s="13"/>
      <c r="R22" s="10">
        <v>0.11350757351291885</v>
      </c>
      <c r="S22" s="11">
        <v>4.7202694544060057E-2</v>
      </c>
      <c r="T22" s="12">
        <v>8.1075417880201381E-2</v>
      </c>
      <c r="U22" s="13"/>
      <c r="V22" s="10">
        <v>4.611836045191247E-2</v>
      </c>
      <c r="W22" s="11">
        <v>7.202075246663755E-3</v>
      </c>
      <c r="X22" s="12">
        <v>2.7124663578059205E-2</v>
      </c>
      <c r="Y22" s="13"/>
      <c r="Z22" s="10">
        <v>0.11444277567922119</v>
      </c>
      <c r="AA22" s="11">
        <v>3.6367500165746816E-2</v>
      </c>
      <c r="AB22" s="12">
        <v>7.6242273246387229E-2</v>
      </c>
      <c r="AC22" s="13"/>
      <c r="AD22" s="10">
        <v>5.6272748659626164E-2</v>
      </c>
      <c r="AE22" s="11">
        <v>-7.6532632982141326E-3</v>
      </c>
      <c r="AF22" s="12">
        <v>2.5064263391761831E-2</v>
      </c>
      <c r="AG22" s="13"/>
      <c r="AH22" s="10">
        <v>0.24993365043072727</v>
      </c>
      <c r="AI22" s="11">
        <v>0.13927195890965924</v>
      </c>
      <c r="AJ22" s="12">
        <v>0.19536398968882057</v>
      </c>
      <c r="AK22" s="13"/>
    </row>
    <row r="23" spans="1:37" ht="16.5">
      <c r="A23" s="30">
        <v>75</v>
      </c>
      <c r="B23" s="11">
        <v>0.26393791547571011</v>
      </c>
      <c r="C23" s="11">
        <v>0.22405908607537503</v>
      </c>
      <c r="D23" s="12">
        <v>0.24438970566438267</v>
      </c>
      <c r="E23" s="13"/>
      <c r="F23" s="10">
        <v>0.26264157768898094</v>
      </c>
      <c r="G23" s="11">
        <v>0.17544223413848195</v>
      </c>
      <c r="H23" s="12">
        <v>0.21969545818577857</v>
      </c>
      <c r="I23" s="13"/>
      <c r="J23" s="10">
        <v>0.35688919667802921</v>
      </c>
      <c r="K23" s="11">
        <v>0.26683377074043363</v>
      </c>
      <c r="L23" s="12">
        <v>0.3123474009290419</v>
      </c>
      <c r="M23" s="13"/>
      <c r="N23" s="10">
        <v>0.36516868997048274</v>
      </c>
      <c r="O23" s="11">
        <v>0.27789225951999852</v>
      </c>
      <c r="P23" s="12">
        <v>0.32200302729512403</v>
      </c>
      <c r="Q23" s="13"/>
      <c r="R23" s="10">
        <v>0.38394770191107502</v>
      </c>
      <c r="S23" s="11">
        <v>0.29831344083201977</v>
      </c>
      <c r="T23" s="12">
        <v>0.34157292464829409</v>
      </c>
      <c r="U23" s="13"/>
      <c r="V23" s="10">
        <v>0.28530850886387621</v>
      </c>
      <c r="W23" s="11">
        <v>0.2413079511272811</v>
      </c>
      <c r="X23" s="12">
        <v>0.2637202541418644</v>
      </c>
      <c r="Y23" s="13"/>
      <c r="Z23" s="10">
        <v>0.37244550096136225</v>
      </c>
      <c r="AA23" s="11">
        <v>0.27578879760187452</v>
      </c>
      <c r="AB23" s="12">
        <v>0.3245646981205535</v>
      </c>
      <c r="AC23" s="13"/>
      <c r="AD23" s="10">
        <v>0.32402840228687824</v>
      </c>
      <c r="AE23" s="11">
        <v>0.25287638249270644</v>
      </c>
      <c r="AF23" s="12">
        <v>0.28896487742047061</v>
      </c>
      <c r="AG23" s="13"/>
      <c r="AH23" s="10">
        <v>0.56363936723252317</v>
      </c>
      <c r="AI23" s="11">
        <v>0.39743509586210701</v>
      </c>
      <c r="AJ23" s="12">
        <v>0.4794879449718541</v>
      </c>
      <c r="AK23" s="13"/>
    </row>
    <row r="24" spans="1:37" ht="16.5">
      <c r="A24" s="30">
        <v>80</v>
      </c>
      <c r="B24" s="11">
        <v>0.57732480411031639</v>
      </c>
      <c r="C24" s="11">
        <v>0.53050000260347951</v>
      </c>
      <c r="D24" s="12">
        <v>0.5542075593189103</v>
      </c>
      <c r="E24" s="13"/>
      <c r="F24" s="10">
        <v>0.63094192216713241</v>
      </c>
      <c r="G24" s="11">
        <v>0.52941084062316079</v>
      </c>
      <c r="H24" s="12">
        <v>0.58006843196258251</v>
      </c>
      <c r="I24" s="13"/>
      <c r="J24" s="10">
        <v>0.72453107950166995</v>
      </c>
      <c r="K24" s="11">
        <v>0.63032567098022951</v>
      </c>
      <c r="L24" s="12">
        <v>0.67726953010875401</v>
      </c>
      <c r="M24" s="13"/>
      <c r="N24" s="10">
        <v>0.71611699723844735</v>
      </c>
      <c r="O24" s="11">
        <v>0.60865330973735543</v>
      </c>
      <c r="P24" s="12">
        <v>0.66202299315788493</v>
      </c>
      <c r="Q24" s="13"/>
      <c r="R24" s="10">
        <v>0.71024327752276806</v>
      </c>
      <c r="S24" s="11">
        <v>0.61317544977380356</v>
      </c>
      <c r="T24" s="12">
        <v>0.6615291707175992</v>
      </c>
      <c r="U24" s="13"/>
      <c r="V24" s="10">
        <v>0.57891018939849992</v>
      </c>
      <c r="W24" s="11">
        <v>0.52813709495069316</v>
      </c>
      <c r="X24" s="12">
        <v>0.5538186517944591</v>
      </c>
      <c r="Y24" s="13"/>
      <c r="Z24" s="10">
        <v>0.68106840439639504</v>
      </c>
      <c r="AA24" s="11">
        <v>0.568574822084425</v>
      </c>
      <c r="AB24" s="12">
        <v>0.62444124829308445</v>
      </c>
      <c r="AC24" s="13"/>
      <c r="AD24" s="10">
        <v>0.63806965181021802</v>
      </c>
      <c r="AE24" s="11">
        <v>0.57744259634528783</v>
      </c>
      <c r="AF24" s="12">
        <v>0.60799710332328083</v>
      </c>
      <c r="AG24" s="13"/>
      <c r="AH24" s="10">
        <v>0.93261342842495298</v>
      </c>
      <c r="AI24" s="11">
        <v>0.71179936168165503</v>
      </c>
      <c r="AJ24" s="12">
        <v>0.81670132682028751</v>
      </c>
      <c r="AK24" s="13"/>
    </row>
    <row r="25" spans="1:37" ht="16.5">
      <c r="A25" s="30">
        <v>85</v>
      </c>
      <c r="B25" s="11">
        <v>1.0013626443891026</v>
      </c>
      <c r="C25" s="11">
        <v>0.94458953171090765</v>
      </c>
      <c r="D25" s="12">
        <v>0.97306427262294348</v>
      </c>
      <c r="E25" s="13"/>
      <c r="F25" s="10">
        <v>1.1510053247399854</v>
      </c>
      <c r="G25" s="11">
        <v>1.0331091244568076</v>
      </c>
      <c r="H25" s="12">
        <v>1.0907265436318963</v>
      </c>
      <c r="I25" s="13"/>
      <c r="J25" s="10">
        <v>1.2272198084146826</v>
      </c>
      <c r="K25" s="11">
        <v>1.1331829930730626</v>
      </c>
      <c r="L25" s="12">
        <v>1.17951998038618</v>
      </c>
      <c r="M25" s="13"/>
      <c r="N25" s="10">
        <v>1.1877303063916866</v>
      </c>
      <c r="O25" s="11">
        <v>1.0566921142266263</v>
      </c>
      <c r="P25" s="12">
        <v>1.1203444618292409</v>
      </c>
      <c r="Q25" s="13"/>
      <c r="R25" s="10">
        <v>1.1175905321542541</v>
      </c>
      <c r="S25" s="11">
        <v>1.0181822931175846</v>
      </c>
      <c r="T25" s="12">
        <v>1.0671518205022332</v>
      </c>
      <c r="U25" s="13"/>
      <c r="V25" s="10">
        <v>0.95691802478674437</v>
      </c>
      <c r="W25" s="11">
        <v>0.90338845527136724</v>
      </c>
      <c r="X25" s="12">
        <v>0.93028278064534198</v>
      </c>
      <c r="Y25" s="13"/>
      <c r="Z25" s="10">
        <v>1.0654391507996388</v>
      </c>
      <c r="AA25" s="11">
        <v>0.93591958653080509</v>
      </c>
      <c r="AB25" s="12">
        <v>0.99906845424021851</v>
      </c>
      <c r="AC25" s="13"/>
      <c r="AD25" s="10">
        <v>1.0115967066036922</v>
      </c>
      <c r="AE25" s="11">
        <v>0.97985813731305149</v>
      </c>
      <c r="AF25" s="12">
        <v>0.99592319278928132</v>
      </c>
      <c r="AG25" s="13"/>
      <c r="AH25" s="10">
        <v>1.3873020233961928</v>
      </c>
      <c r="AI25" s="11">
        <v>1.1223871138412316</v>
      </c>
      <c r="AJ25" s="12">
        <v>1.2432902201858909</v>
      </c>
      <c r="AK25" s="13"/>
    </row>
    <row r="26" spans="1:37" ht="16.5">
      <c r="A26" s="30">
        <v>90</v>
      </c>
      <c r="B26" s="11">
        <v>1.5995786661190043</v>
      </c>
      <c r="C26" s="11">
        <v>1.5089201704184647</v>
      </c>
      <c r="D26" s="12">
        <v>1.5534770161413933</v>
      </c>
      <c r="E26" s="13"/>
      <c r="F26" s="10">
        <v>1.9199083814504203</v>
      </c>
      <c r="G26" s="11">
        <v>1.7550342134891801</v>
      </c>
      <c r="H26" s="12">
        <v>1.8330382583613032</v>
      </c>
      <c r="I26" s="13"/>
      <c r="J26" s="10">
        <v>1.9444642756509376</v>
      </c>
      <c r="K26" s="11">
        <v>1.8372538887871619</v>
      </c>
      <c r="L26" s="12">
        <v>1.8894232371734176</v>
      </c>
      <c r="M26" s="13"/>
      <c r="N26" s="10">
        <v>1.8503663759686619</v>
      </c>
      <c r="O26" s="11">
        <v>1.6713786473155037</v>
      </c>
      <c r="P26" s="12">
        <v>1.7555291627068352</v>
      </c>
      <c r="Q26" s="13"/>
      <c r="R26" s="10">
        <v>1.6611312255959834</v>
      </c>
      <c r="S26" s="11">
        <v>1.555960699402684</v>
      </c>
      <c r="T26" s="12">
        <v>1.6072784104101479</v>
      </c>
      <c r="U26" s="13"/>
      <c r="V26" s="10">
        <v>1.4660516370425709</v>
      </c>
      <c r="W26" s="11">
        <v>1.3934292134435451</v>
      </c>
      <c r="X26" s="12">
        <v>1.4294508836427307</v>
      </c>
      <c r="Y26" s="13"/>
      <c r="Z26" s="10">
        <v>1.5728608460924371</v>
      </c>
      <c r="AA26" s="11">
        <v>1.4118135353768861</v>
      </c>
      <c r="AB26" s="12">
        <v>1.4884552982618866</v>
      </c>
      <c r="AC26" s="13"/>
      <c r="AD26" s="10">
        <v>1.4973998480891659</v>
      </c>
      <c r="AE26" s="11">
        <v>1.5119308955859414</v>
      </c>
      <c r="AF26" s="12">
        <v>1.5044403797269608</v>
      </c>
      <c r="AG26" s="13"/>
      <c r="AH26" s="10">
        <v>1.9829172400953288</v>
      </c>
      <c r="AI26" s="11">
        <v>1.6587362883295642</v>
      </c>
      <c r="AJ26" s="12">
        <v>1.8001651283631646</v>
      </c>
      <c r="AK26" s="13"/>
    </row>
    <row r="27" spans="1:37" ht="16.5">
      <c r="A27" s="30">
        <v>95</v>
      </c>
      <c r="B27" s="11">
        <v>2.4479882975042861</v>
      </c>
      <c r="C27" s="11">
        <v>2.2825986925032642</v>
      </c>
      <c r="D27" s="12">
        <v>2.3606082334445309</v>
      </c>
      <c r="E27" s="13"/>
      <c r="F27" s="10">
        <v>3.0235160360355957</v>
      </c>
      <c r="G27" s="11">
        <v>2.7664101061737294</v>
      </c>
      <c r="H27" s="12">
        <v>2.8817939625130236</v>
      </c>
      <c r="I27" s="13"/>
      <c r="J27" s="10">
        <v>2.9528697751834314</v>
      </c>
      <c r="K27" s="11">
        <v>2.8057042054436336</v>
      </c>
      <c r="L27" s="12">
        <v>2.8757110787644184</v>
      </c>
      <c r="M27" s="13"/>
      <c r="N27" s="10">
        <v>2.7783838252094868</v>
      </c>
      <c r="O27" s="11">
        <v>2.5127936410983334</v>
      </c>
      <c r="P27" s="12">
        <v>2.6315083108808968</v>
      </c>
      <c r="Q27" s="13"/>
      <c r="R27" s="10">
        <v>2.4025890939540435</v>
      </c>
      <c r="S27" s="11">
        <v>2.2784690613242318</v>
      </c>
      <c r="T27" s="12">
        <v>2.3382664193536713</v>
      </c>
      <c r="U27" s="13"/>
      <c r="V27" s="10">
        <v>2.1705941555954427</v>
      </c>
      <c r="W27" s="11">
        <v>2.0518339123277936</v>
      </c>
      <c r="X27" s="12">
        <v>2.1092417997894026</v>
      </c>
      <c r="Y27" s="13"/>
      <c r="Z27" s="10">
        <v>2.2636881594986953</v>
      </c>
      <c r="AA27" s="11">
        <v>2.0449315382198519</v>
      </c>
      <c r="AB27" s="12">
        <v>2.1453899602604221</v>
      </c>
      <c r="AC27" s="13"/>
      <c r="AD27" s="10">
        <v>2.1515211271778822</v>
      </c>
      <c r="AE27" s="11">
        <v>2.2227050179566477</v>
      </c>
      <c r="AF27" s="12">
        <v>2.1850128931335115</v>
      </c>
      <c r="AG27" s="13"/>
      <c r="AH27" s="10">
        <v>2.7780037991877462</v>
      </c>
      <c r="AI27" s="11">
        <v>2.3739396457502853</v>
      </c>
      <c r="AJ27" s="12">
        <v>2.5413792658847507</v>
      </c>
      <c r="AK27" s="13"/>
    </row>
    <row r="28" spans="1:37" ht="16.5">
      <c r="A28" s="30">
        <v>100</v>
      </c>
      <c r="B28" s="11">
        <v>3.6195103885149451</v>
      </c>
      <c r="C28" s="11">
        <v>3.3282687845598686</v>
      </c>
      <c r="D28" s="12">
        <v>3.456484338639886</v>
      </c>
      <c r="E28" s="13"/>
      <c r="F28" s="10">
        <v>4.4228372398157294</v>
      </c>
      <c r="G28" s="11">
        <v>4.0684000395331683</v>
      </c>
      <c r="H28" s="12">
        <v>4.2190286743239609</v>
      </c>
      <c r="I28" s="13"/>
      <c r="J28" s="10">
        <v>4.2676246503506912</v>
      </c>
      <c r="K28" s="11">
        <v>4.0533982418447554</v>
      </c>
      <c r="L28" s="12">
        <v>4.1517103879787287</v>
      </c>
      <c r="M28" s="13"/>
      <c r="N28" s="10">
        <v>4.0180571041339634</v>
      </c>
      <c r="O28" s="11">
        <v>3.6298603411790711</v>
      </c>
      <c r="P28" s="12">
        <v>3.7917600669383469</v>
      </c>
      <c r="Q28" s="13"/>
      <c r="R28" s="10">
        <v>3.4241427806338751</v>
      </c>
      <c r="S28" s="11">
        <v>3.2503739570229526</v>
      </c>
      <c r="T28" s="12">
        <v>3.3318686402614652</v>
      </c>
      <c r="U28" s="13"/>
      <c r="V28" s="10">
        <v>3.1605254622611385</v>
      </c>
      <c r="W28" s="11">
        <v>2.9498761884268374</v>
      </c>
      <c r="X28" s="12">
        <v>3.0467756197013873</v>
      </c>
      <c r="Y28" s="13"/>
      <c r="Z28" s="10">
        <v>3.224813560044228</v>
      </c>
      <c r="AA28" s="11">
        <v>2.9065512735809693</v>
      </c>
      <c r="AB28" s="12">
        <v>3.0446542971633361</v>
      </c>
      <c r="AC28" s="13"/>
      <c r="AD28" s="10">
        <v>3.0633752552417657</v>
      </c>
      <c r="AE28" s="11">
        <v>3.1790244114593182</v>
      </c>
      <c r="AF28" s="12">
        <v>3.116474355270324</v>
      </c>
      <c r="AG28" s="13"/>
      <c r="AH28" s="10">
        <v>3.8418888152234878</v>
      </c>
      <c r="AI28" s="11">
        <v>3.329938764586621</v>
      </c>
      <c r="AJ28" s="12">
        <v>3.528948032570935</v>
      </c>
      <c r="AK28" s="13"/>
    </row>
    <row r="29" spans="1:37" ht="16.5">
      <c r="A29" s="30">
        <v>105</v>
      </c>
      <c r="B29" s="11">
        <v>5.0022280726060071</v>
      </c>
      <c r="C29" s="11">
        <v>4.625335307588502</v>
      </c>
      <c r="D29" s="12">
        <v>4.7834941730827261</v>
      </c>
      <c r="E29" s="13"/>
      <c r="F29" s="10">
        <v>5.8392025489560355</v>
      </c>
      <c r="G29" s="11">
        <v>5.4932138222799907</v>
      </c>
      <c r="H29" s="12">
        <v>5.6409357989253106</v>
      </c>
      <c r="I29" s="13"/>
      <c r="J29" s="10">
        <v>5.6860533811069152</v>
      </c>
      <c r="K29" s="11">
        <v>5.4593767741634176</v>
      </c>
      <c r="L29" s="12">
        <v>5.5627037680519829</v>
      </c>
      <c r="M29" s="13"/>
      <c r="N29" s="10">
        <v>5.4182862080623648</v>
      </c>
      <c r="O29" s="11">
        <v>4.9719871065152965</v>
      </c>
      <c r="P29" s="12">
        <v>5.1520484155042867</v>
      </c>
      <c r="Q29" s="13"/>
      <c r="R29" s="10">
        <v>4.6756493021633334</v>
      </c>
      <c r="S29" s="11">
        <v>4.4650856991940309</v>
      </c>
      <c r="T29" s="12">
        <v>4.5619035495507454</v>
      </c>
      <c r="U29" s="13"/>
      <c r="V29" s="10">
        <v>4.4016358854285986</v>
      </c>
      <c r="W29" s="11">
        <v>4.0946817863102076</v>
      </c>
      <c r="X29" s="12">
        <v>4.2286173173606212</v>
      </c>
      <c r="Y29" s="13"/>
      <c r="Z29" s="10">
        <v>4.4209170167907139</v>
      </c>
      <c r="AA29" s="11">
        <v>4.0037588569220599</v>
      </c>
      <c r="AB29" s="12">
        <v>4.1748923134161737</v>
      </c>
      <c r="AC29" s="13"/>
      <c r="AD29" s="10">
        <v>4.2067595130805335</v>
      </c>
      <c r="AE29" s="11">
        <v>4.3792280127611418</v>
      </c>
      <c r="AF29" s="12">
        <v>4.2835184032044804</v>
      </c>
      <c r="AG29" s="13"/>
      <c r="AH29" s="10">
        <v>5.1044122809392638</v>
      </c>
      <c r="AI29" s="11">
        <v>4.5147864558363109</v>
      </c>
      <c r="AJ29" s="12">
        <v>4.7338102922351064</v>
      </c>
      <c r="AK29" s="13"/>
    </row>
    <row r="30" spans="1:37" ht="16.5">
      <c r="A30" s="30">
        <v>110</v>
      </c>
      <c r="B30" s="11">
        <v>6.4083104660287038</v>
      </c>
      <c r="C30" s="11">
        <v>6.0294635878198859</v>
      </c>
      <c r="D30" s="12">
        <v>6.1882635113063182</v>
      </c>
      <c r="E30" s="13"/>
      <c r="F30" s="10">
        <v>7.1624878864426957</v>
      </c>
      <c r="G30" s="11">
        <v>6.8602348858808631</v>
      </c>
      <c r="H30" s="12">
        <v>6.992452295212896</v>
      </c>
      <c r="I30" s="13"/>
      <c r="J30" s="10">
        <v>7.0539985211772587</v>
      </c>
      <c r="K30" s="11">
        <v>6.8465315327821061</v>
      </c>
      <c r="L30" s="12">
        <v>6.9420813703407536</v>
      </c>
      <c r="M30" s="13"/>
      <c r="N30" s="10">
        <v>6.8103890080331801</v>
      </c>
      <c r="O30" s="11">
        <v>6.3777236955329677</v>
      </c>
      <c r="P30" s="12">
        <v>6.553642813550776</v>
      </c>
      <c r="Q30" s="13"/>
      <c r="R30" s="10">
        <v>6.0630519318779301</v>
      </c>
      <c r="S30" s="11">
        <v>5.8355283541472565</v>
      </c>
      <c r="T30" s="12">
        <v>5.9391939532354971</v>
      </c>
      <c r="U30" s="13"/>
      <c r="V30" s="10">
        <v>5.7935714767789017</v>
      </c>
      <c r="W30" s="11">
        <v>5.4321150179459448</v>
      </c>
      <c r="X30" s="12">
        <v>5.585112332790378</v>
      </c>
      <c r="Y30" s="13"/>
      <c r="Z30" s="10">
        <v>5.7860791619664145</v>
      </c>
      <c r="AA30" s="11">
        <v>5.3051445992704158</v>
      </c>
      <c r="AB30" s="12">
        <v>5.4953707469325046</v>
      </c>
      <c r="AC30" s="13"/>
      <c r="AD30" s="10">
        <v>5.5416028672080424</v>
      </c>
      <c r="AE30" s="11">
        <v>5.7428898038061096</v>
      </c>
      <c r="AF30" s="12">
        <v>5.6297689009492258</v>
      </c>
      <c r="AG30" s="13"/>
      <c r="AH30" s="10">
        <v>6.4847254484227692</v>
      </c>
      <c r="AI30" s="11">
        <v>5.8638541439062157</v>
      </c>
      <c r="AJ30" s="12">
        <v>6.0903157295331747</v>
      </c>
      <c r="AK30" s="13"/>
    </row>
    <row r="31" spans="1:37" ht="16.5">
      <c r="A31" s="30">
        <v>115</v>
      </c>
      <c r="B31" s="11">
        <v>7.7401445801782973</v>
      </c>
      <c r="C31" s="11">
        <v>7.4043621838051337</v>
      </c>
      <c r="D31" s="12">
        <v>7.5485435423310427</v>
      </c>
      <c r="E31" s="13"/>
      <c r="F31" s="10">
        <v>8.4047966282760491</v>
      </c>
      <c r="G31" s="11">
        <v>8.1430490724903937</v>
      </c>
      <c r="H31" s="12">
        <v>8.2601178556771053</v>
      </c>
      <c r="I31" s="13"/>
      <c r="J31" s="10">
        <v>8.3402091722057712</v>
      </c>
      <c r="K31" s="11">
        <v>8.158572604222341</v>
      </c>
      <c r="L31" s="12">
        <v>8.2433837383424553</v>
      </c>
      <c r="M31" s="13"/>
      <c r="N31" s="10">
        <v>8.1267806246641499</v>
      </c>
      <c r="O31" s="11">
        <v>7.7352809116928398</v>
      </c>
      <c r="P31" s="12">
        <v>7.8982187039480989</v>
      </c>
      <c r="Q31" s="13"/>
      <c r="R31" s="10">
        <v>7.4495278174829691</v>
      </c>
      <c r="S31" s="11">
        <v>7.2279460670572018</v>
      </c>
      <c r="T31" s="12">
        <v>7.3292274207295751</v>
      </c>
      <c r="U31" s="13"/>
      <c r="V31" s="10">
        <v>7.1829327626350974</v>
      </c>
      <c r="W31" s="11">
        <v>6.8290676844274385</v>
      </c>
      <c r="X31" s="12">
        <v>6.9794886274599186</v>
      </c>
      <c r="Y31" s="13"/>
      <c r="Z31" s="10">
        <v>7.1808331182889971</v>
      </c>
      <c r="AA31" s="11">
        <v>6.695043478644175</v>
      </c>
      <c r="AB31" s="12">
        <v>6.8866535531630806</v>
      </c>
      <c r="AC31" s="13"/>
      <c r="AD31" s="10">
        <v>6.9372046366635285</v>
      </c>
      <c r="AE31" s="11">
        <v>7.1367443375319111</v>
      </c>
      <c r="AF31" s="12">
        <v>7.0246899697975094</v>
      </c>
      <c r="AG31" s="13"/>
      <c r="AH31" s="10">
        <v>7.8673624360107643</v>
      </c>
      <c r="AI31" s="11">
        <v>7.255768712324258</v>
      </c>
      <c r="AJ31" s="12">
        <v>7.4800549406871442</v>
      </c>
      <c r="AK31" s="13"/>
    </row>
    <row r="32" spans="1:37" ht="16.5">
      <c r="A32" s="30">
        <v>120</v>
      </c>
      <c r="B32" s="11">
        <v>8.998633836476932</v>
      </c>
      <c r="C32" s="11">
        <v>8.7097965601492593</v>
      </c>
      <c r="D32" s="12">
        <v>8.8370815817631723</v>
      </c>
      <c r="E32" s="13"/>
      <c r="F32" s="10">
        <v>9.596884830444905</v>
      </c>
      <c r="G32" s="11">
        <v>9.3641364252263397</v>
      </c>
      <c r="H32" s="12">
        <v>9.4698842410943218</v>
      </c>
      <c r="I32" s="13"/>
      <c r="J32" s="10">
        <v>9.5649282354801795</v>
      </c>
      <c r="K32" s="11">
        <v>9.4048263831297554</v>
      </c>
      <c r="L32" s="12">
        <v>9.4804360554555807</v>
      </c>
      <c r="M32" s="13"/>
      <c r="N32" s="10">
        <v>9.3754640852178781</v>
      </c>
      <c r="O32" s="11">
        <v>9.0233084607936505</v>
      </c>
      <c r="P32" s="12">
        <v>9.1731458109940789</v>
      </c>
      <c r="Q32" s="13"/>
      <c r="R32" s="10">
        <v>8.7767020576572392</v>
      </c>
      <c r="S32" s="11">
        <v>8.5698166805470297</v>
      </c>
      <c r="T32" s="12">
        <v>8.6651282630148572</v>
      </c>
      <c r="U32" s="13"/>
      <c r="V32" s="10">
        <v>8.5070968475342426</v>
      </c>
      <c r="W32" s="11">
        <v>8.1895997580228492</v>
      </c>
      <c r="X32" s="12">
        <v>8.3273205213875556</v>
      </c>
      <c r="Y32" s="13"/>
      <c r="Z32" s="10">
        <v>8.5263883009818713</v>
      </c>
      <c r="AA32" s="11">
        <v>8.06891632051531</v>
      </c>
      <c r="AB32" s="12">
        <v>8.2523085228183035</v>
      </c>
      <c r="AC32" s="13"/>
      <c r="AD32" s="10">
        <v>8.2989472099897021</v>
      </c>
      <c r="AE32" s="11">
        <v>8.4832662738307949</v>
      </c>
      <c r="AF32" s="12">
        <v>8.3804432700385956</v>
      </c>
      <c r="AG32" s="13"/>
      <c r="AH32" s="10">
        <v>9.1993075204450836</v>
      </c>
      <c r="AI32" s="11">
        <v>8.6107854722502122</v>
      </c>
      <c r="AJ32" s="12">
        <v>8.8295285593073132</v>
      </c>
      <c r="AK32" s="13"/>
    </row>
    <row r="33" spans="1:37" ht="16.5">
      <c r="A33" s="30">
        <v>125</v>
      </c>
      <c r="B33" s="11">
        <v>10.206211781230907</v>
      </c>
      <c r="C33" s="11">
        <v>9.9549502781605241</v>
      </c>
      <c r="D33" s="12">
        <v>10.067971584885445</v>
      </c>
      <c r="E33" s="13"/>
      <c r="F33" s="10">
        <v>10.760446676596219</v>
      </c>
      <c r="G33" s="11">
        <v>10.54671238393993</v>
      </c>
      <c r="H33" s="12">
        <v>10.644819003913035</v>
      </c>
      <c r="I33" s="13"/>
      <c r="J33" s="10">
        <v>10.750501787340323</v>
      </c>
      <c r="K33" s="11">
        <v>10.605996987167217</v>
      </c>
      <c r="L33" s="12">
        <v>10.674800204844884</v>
      </c>
      <c r="M33" s="13"/>
      <c r="N33" s="10">
        <v>10.577747129692867</v>
      </c>
      <c r="O33" s="11">
        <v>10.25567312261008</v>
      </c>
      <c r="P33" s="12">
        <v>10.395025352594091</v>
      </c>
      <c r="Q33" s="13"/>
      <c r="R33" s="10">
        <v>10.042888155273785</v>
      </c>
      <c r="S33" s="11">
        <v>9.850605691773616</v>
      </c>
      <c r="T33" s="12">
        <v>9.9398820014241487</v>
      </c>
      <c r="U33" s="13"/>
      <c r="V33" s="10">
        <v>9.7673060412811648</v>
      </c>
      <c r="W33" s="11">
        <v>9.4886405663929345</v>
      </c>
      <c r="X33" s="12">
        <v>9.6121299354117458</v>
      </c>
      <c r="Y33" s="13"/>
      <c r="Z33" s="10">
        <v>9.8098698363978496</v>
      </c>
      <c r="AA33" s="11">
        <v>9.3870629648137029</v>
      </c>
      <c r="AB33" s="12">
        <v>9.5599396032487789</v>
      </c>
      <c r="AC33" s="13"/>
      <c r="AD33" s="10">
        <v>9.6005425251538803</v>
      </c>
      <c r="AE33" s="11">
        <v>9.7687211838998778</v>
      </c>
      <c r="AF33" s="12">
        <v>9.6755662009968226</v>
      </c>
      <c r="AG33" s="13"/>
      <c r="AH33" s="10">
        <v>10.474913451594412</v>
      </c>
      <c r="AI33" s="11">
        <v>9.9083660253800794</v>
      </c>
      <c r="AJ33" s="12">
        <v>10.121646817374204</v>
      </c>
      <c r="AK33" s="13"/>
    </row>
    <row r="34" spans="1:37" ht="16.5">
      <c r="A34" s="30">
        <v>130</v>
      </c>
      <c r="B34" s="11">
        <v>11.38193011335925</v>
      </c>
      <c r="C34" s="15">
        <v>11.157705461462221</v>
      </c>
      <c r="D34" s="16">
        <v>11.26004932912519</v>
      </c>
      <c r="E34" s="13"/>
      <c r="F34" s="14">
        <v>11.908308165509904</v>
      </c>
      <c r="G34" s="15">
        <v>11.706544809284564</v>
      </c>
      <c r="H34" s="16">
        <v>11.799751271322087</v>
      </c>
      <c r="I34" s="13"/>
      <c r="J34" s="14">
        <v>11.9125488897563</v>
      </c>
      <c r="K34" s="15">
        <v>11.778676791612058</v>
      </c>
      <c r="L34" s="16">
        <v>11.842771267842494</v>
      </c>
      <c r="M34" s="13"/>
      <c r="N34" s="14">
        <v>11.750838102629126</v>
      </c>
      <c r="O34" s="15">
        <v>11.449927176533031</v>
      </c>
      <c r="P34" s="16">
        <v>11.581654892795088</v>
      </c>
      <c r="Q34" s="13"/>
      <c r="R34" s="14">
        <v>11.262597504753886</v>
      </c>
      <c r="S34" s="15">
        <v>11.082091915068762</v>
      </c>
      <c r="T34" s="16">
        <v>11.166425439578708</v>
      </c>
      <c r="U34" s="13"/>
      <c r="V34" s="14">
        <v>10.980627934452526</v>
      </c>
      <c r="W34" s="15">
        <v>10.734085180138562</v>
      </c>
      <c r="X34" s="16">
        <v>10.845268084035592</v>
      </c>
      <c r="Y34" s="13"/>
      <c r="Z34" s="14">
        <v>11.042924868966349</v>
      </c>
      <c r="AA34" s="15">
        <v>10.650155316042701</v>
      </c>
      <c r="AB34" s="16">
        <v>10.813504518532781</v>
      </c>
      <c r="AC34" s="13"/>
      <c r="AD34" s="14">
        <v>10.848763230900655</v>
      </c>
      <c r="AE34" s="15">
        <v>11.003927674646526</v>
      </c>
      <c r="AF34" s="16">
        <v>10.918476756837725</v>
      </c>
      <c r="AG34" s="13"/>
      <c r="AH34" s="14">
        <v>11.704957825128714</v>
      </c>
      <c r="AI34" s="15">
        <v>11.15531482347126</v>
      </c>
      <c r="AJ34" s="16">
        <v>11.364269735429231</v>
      </c>
      <c r="AK34" s="13"/>
    </row>
    <row r="37" spans="1:37" s="18" customFormat="1" ht="16.5">
      <c r="A37" s="30" t="s">
        <v>24</v>
      </c>
      <c r="B37" s="11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37" s="18" customFormat="1" ht="16.5">
      <c r="A38" s="115"/>
      <c r="B38" s="30" t="s">
        <v>25</v>
      </c>
      <c r="E38" s="9" t="s">
        <v>26</v>
      </c>
    </row>
    <row r="39" spans="1:37" s="18" customFormat="1" ht="14.25">
      <c r="A39" s="115"/>
      <c r="B39" s="115"/>
      <c r="E39" s="225" t="s">
        <v>27</v>
      </c>
      <c r="F39" s="225"/>
      <c r="G39" s="225"/>
      <c r="H39" s="225"/>
      <c r="I39" s="225"/>
      <c r="J39" s="225"/>
      <c r="K39" s="225"/>
      <c r="L39" s="225"/>
      <c r="M39" s="225"/>
      <c r="N39" s="9" t="s">
        <v>28</v>
      </c>
    </row>
    <row r="40" spans="1:37" s="18" customFormat="1" ht="14.25">
      <c r="A40" s="115"/>
      <c r="B40" s="115"/>
      <c r="E40" s="24" t="s">
        <v>89</v>
      </c>
    </row>
    <row r="41" spans="1:37" s="18" customFormat="1" ht="14.25">
      <c r="A41" s="115"/>
      <c r="B41" s="115"/>
      <c r="E41" s="225" t="s">
        <v>90</v>
      </c>
      <c r="F41" s="225"/>
      <c r="G41" s="225"/>
      <c r="H41" s="225"/>
      <c r="I41" s="225"/>
      <c r="J41" s="225"/>
      <c r="K41" s="225"/>
      <c r="L41" s="225"/>
      <c r="M41" s="225"/>
      <c r="N41" s="225"/>
    </row>
    <row r="42" spans="1:37" s="18" customFormat="1" ht="14.25">
      <c r="A42" s="115"/>
      <c r="B42" s="115"/>
    </row>
    <row r="43" spans="1:37" s="18" customFormat="1" ht="18">
      <c r="A43" s="115"/>
      <c r="B43" s="30" t="s">
        <v>29</v>
      </c>
    </row>
    <row r="44" spans="1:37">
      <c r="B44" s="7" t="s">
        <v>30</v>
      </c>
      <c r="E44" s="9" t="s">
        <v>31</v>
      </c>
    </row>
    <row r="45" spans="1:37" ht="5.25" customHeight="1"/>
    <row r="46" spans="1:37">
      <c r="B46" s="7" t="s">
        <v>32</v>
      </c>
      <c r="E46" s="9" t="s">
        <v>33</v>
      </c>
    </row>
    <row r="47" spans="1:37">
      <c r="E47" s="9" t="s">
        <v>34</v>
      </c>
    </row>
    <row r="48" spans="1:37">
      <c r="E48" s="225" t="s">
        <v>35</v>
      </c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</row>
    <row r="50" spans="2:5" ht="16.5">
      <c r="B50" s="30" t="s">
        <v>36</v>
      </c>
    </row>
    <row r="51" spans="2:5" ht="15.75">
      <c r="E51" s="9" t="s">
        <v>37</v>
      </c>
    </row>
    <row r="52" spans="2:5">
      <c r="E52" s="9" t="s">
        <v>38</v>
      </c>
    </row>
  </sheetData>
  <sheetProtection sheet="1" objects="1" scenarios="1" selectLockedCells="1" selectUnlockedCells="1"/>
  <mergeCells count="12">
    <mergeCell ref="E39:M39"/>
    <mergeCell ref="E41:N41"/>
    <mergeCell ref="E48:P48"/>
    <mergeCell ref="Z2:AB2"/>
    <mergeCell ref="AD2:AF2"/>
    <mergeCell ref="B2:D2"/>
    <mergeCell ref="AH2:AJ2"/>
    <mergeCell ref="F2:H2"/>
    <mergeCell ref="J2:L2"/>
    <mergeCell ref="N2:P2"/>
    <mergeCell ref="R2:T2"/>
    <mergeCell ref="V2:X2"/>
  </mergeCells>
  <hyperlinks>
    <hyperlink ref="E39" r:id="rId1"/>
    <hyperlink ref="E48" r:id="rId2"/>
    <hyperlink ref="E41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35</vt:i4>
      </vt:variant>
    </vt:vector>
  </HeadingPairs>
  <TitlesOfParts>
    <vt:vector size="42" baseType="lpstr">
      <vt:lpstr>Introduction</vt:lpstr>
      <vt:lpstr>Enabling circular calculations</vt:lpstr>
      <vt:lpstr>Alpha plots</vt:lpstr>
      <vt:lpstr>Method</vt:lpstr>
      <vt:lpstr>Results</vt:lpstr>
      <vt:lpstr>Selected standard</vt:lpstr>
      <vt:lpstr>Standard logits</vt:lpstr>
      <vt:lpstr>_111</vt:lpstr>
      <vt:lpstr>_112</vt:lpstr>
      <vt:lpstr>_113</vt:lpstr>
      <vt:lpstr>_121</vt:lpstr>
      <vt:lpstr>_122</vt:lpstr>
      <vt:lpstr>_123</vt:lpstr>
      <vt:lpstr>_131</vt:lpstr>
      <vt:lpstr>_132</vt:lpstr>
      <vt:lpstr>_133</vt:lpstr>
      <vt:lpstr>_141</vt:lpstr>
      <vt:lpstr>_142</vt:lpstr>
      <vt:lpstr>_143</vt:lpstr>
      <vt:lpstr>_211</vt:lpstr>
      <vt:lpstr>_212</vt:lpstr>
      <vt:lpstr>_213</vt:lpstr>
      <vt:lpstr>_221</vt:lpstr>
      <vt:lpstr>_222</vt:lpstr>
      <vt:lpstr>_223</vt:lpstr>
      <vt:lpstr>_231</vt:lpstr>
      <vt:lpstr>_232</vt:lpstr>
      <vt:lpstr>_233</vt:lpstr>
      <vt:lpstr>_241</vt:lpstr>
      <vt:lpstr>_242</vt:lpstr>
      <vt:lpstr>_243</vt:lpstr>
      <vt:lpstr>_251</vt:lpstr>
      <vt:lpstr>_252</vt:lpstr>
      <vt:lpstr>_253</vt:lpstr>
      <vt:lpstr>Adultdata</vt:lpstr>
      <vt:lpstr>Family</vt:lpstr>
      <vt:lpstr>FamSelect</vt:lpstr>
      <vt:lpstr>Iterate</vt:lpstr>
      <vt:lpstr>Princeton</vt:lpstr>
      <vt:lpstr>Sex</vt:lpstr>
      <vt:lpstr>TrueFalse</vt:lpstr>
      <vt:lpstr>UN</vt:lpstr>
    </vt:vector>
  </TitlesOfParts>
  <Company>University of Cape Town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Ian</cp:lastModifiedBy>
  <dcterms:created xsi:type="dcterms:W3CDTF">2012-11-20T08:05:59Z</dcterms:created>
  <dcterms:modified xsi:type="dcterms:W3CDTF">2015-11-07T17:09:57Z</dcterms:modified>
</cp:coreProperties>
</file>