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404747\Dropbox\TDE_Word_Excel\Translated spreadsheets\"/>
    </mc:Choice>
  </mc:AlternateContent>
  <bookViews>
    <workbookView xWindow="10305" yWindow="-15" windowWidth="5085" windowHeight="9315"/>
  </bookViews>
  <sheets>
    <sheet name="Introduction" sheetId="5" r:id="rId1"/>
    <sheet name="Modèles" sheetId="10" r:id="rId2"/>
    <sheet name="Méthode" sheetId="7" r:id="rId3"/>
    <sheet name="Graphiques" sheetId="9" r:id="rId4"/>
  </sheets>
  <externalReferences>
    <externalReference r:id="rId5"/>
    <externalReference r:id="rId6"/>
    <externalReference r:id="rId7"/>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Regression_Int" localSheetId="2" hidden="1">1</definedName>
    <definedName name="_Sort" hidden="1">#REF!</definedName>
    <definedName name="a">[2]Models!$D$43</definedName>
    <definedName name="graph1" hidden="1">[3]GOMP!$Z$26:$Z$42</definedName>
    <definedName name="graph10" hidden="1">[3]GOMP!$Y$3:$Y$9</definedName>
    <definedName name="graph11" hidden="1">[3]GOMP!$AE$26:$AE$49</definedName>
    <definedName name="graph12" hidden="1">[3]GOMP!$AE$26:$AE$49</definedName>
    <definedName name="graph13" hidden="1">[3]GOMP!$AB$26:$AB$42</definedName>
    <definedName name="graph14" hidden="1">[3]GOMP!$AB$26:$AB$42</definedName>
    <definedName name="graph15" hidden="1">[3]GOMP!$V$3:$V$19</definedName>
    <definedName name="graph16" hidden="1">[3]GOMP!$V$3:$V$9</definedName>
    <definedName name="graph17" hidden="1">[3]GOMP!$AF$26:$AF$49</definedName>
    <definedName name="graph18" hidden="1">[3]GOMP!$AF$26:$AF$49</definedName>
    <definedName name="graph19" hidden="1">[3]GOMP!$Y$26:$Y$60</definedName>
    <definedName name="graph1a" hidden="1">#REF!</definedName>
    <definedName name="graph2" hidden="1">[3]GOMP!$Z$26:$Z$42</definedName>
    <definedName name="graph20" hidden="1">[3]GOMP!$Y$26:$Y$60</definedName>
    <definedName name="graph21" hidden="1">[3]GOMP!$W$3:$W$19</definedName>
    <definedName name="graph3" hidden="1">[3]GOMP!$X$3:$X$18</definedName>
    <definedName name="graph4" hidden="1">[3]GOMP!$AC$26:$AC$42</definedName>
    <definedName name="graph5" hidden="1">[3]GOMP!$AC$26:$AC$42</definedName>
    <definedName name="graph6" hidden="1">[3]GOMP!$Y$3:$Y$19</definedName>
    <definedName name="graph7" hidden="1">[3]GOMP!$AA$26:$AA$60</definedName>
    <definedName name="graph8" hidden="1">[3]GOMP!$AA$26:$AA$60</definedName>
    <definedName name="graph9" hidden="1">[3]GOMP!$X$3:$X$9</definedName>
    <definedName name="Model_LTs">Modèles!$C$32:$C$37</definedName>
    <definedName name="N_Series">Modèles!$D$46</definedName>
    <definedName name="Series">Modèles!$C$47:$C$48</definedName>
    <definedName name="Source1">Modèles!$C$40:$C$41</definedName>
    <definedName name="Source2">Modèles!$C$43:$C$44</definedName>
    <definedName name="Type_Source">[2]Models!$D$39</definedName>
    <definedName name="Type_source1">Modèles!$D$39</definedName>
    <definedName name="Type_Source2">Modèles!$D$42</definedName>
  </definedNames>
  <calcPr calcId="152511"/>
</workbook>
</file>

<file path=xl/calcChain.xml><?xml version="1.0" encoding="utf-8"?>
<calcChain xmlns="http://schemas.openxmlformats.org/spreadsheetml/2006/main">
  <c r="A4" i="7" l="1"/>
  <c r="C27" i="5" l="1"/>
  <c r="C23" i="5"/>
  <c r="D39" i="10" l="1"/>
  <c r="P1" i="7" l="1"/>
  <c r="Q1" i="7"/>
  <c r="O1" i="7"/>
  <c r="C31" i="7"/>
  <c r="D31" i="7"/>
  <c r="B31" i="7"/>
  <c r="C29" i="10"/>
  <c r="D31" i="10" l="1"/>
  <c r="I10" i="10" l="1"/>
  <c r="I8" i="10"/>
  <c r="D23" i="5" s="1"/>
  <c r="I6" i="10"/>
  <c r="I4" i="10"/>
  <c r="I25" i="10"/>
  <c r="I23" i="10"/>
  <c r="I21" i="10"/>
  <c r="I19" i="10"/>
  <c r="I17" i="10"/>
  <c r="I15" i="10"/>
  <c r="I9" i="10"/>
  <c r="I7" i="10"/>
  <c r="I5" i="10"/>
  <c r="I26" i="10"/>
  <c r="J26" i="10" s="1"/>
  <c r="I24" i="10"/>
  <c r="I22" i="10"/>
  <c r="I20" i="10"/>
  <c r="I18" i="10"/>
  <c r="I16" i="10"/>
  <c r="F27" i="5" l="1"/>
  <c r="E27" i="5"/>
  <c r="D27" i="5"/>
  <c r="C32" i="7"/>
  <c r="C41" i="7" s="1"/>
  <c r="B32" i="7"/>
  <c r="B36" i="7" s="1"/>
  <c r="D32" i="7"/>
  <c r="D40" i="7" s="1"/>
  <c r="E23" i="5"/>
  <c r="F23" i="5"/>
  <c r="P2" i="7"/>
  <c r="P8" i="7" s="1"/>
  <c r="O2" i="7"/>
  <c r="Q2" i="7"/>
  <c r="Q10" i="7" s="1"/>
  <c r="J15" i="10"/>
  <c r="J16" i="10"/>
  <c r="B28" i="10"/>
  <c r="D42" i="10"/>
  <c r="D46" i="10"/>
  <c r="H25" i="7" l="1"/>
  <c r="O11" i="7"/>
  <c r="O7" i="7"/>
  <c r="Q8" i="7"/>
  <c r="Q11" i="7"/>
  <c r="Q9" i="7"/>
  <c r="C44" i="7"/>
  <c r="C38" i="7"/>
  <c r="C37" i="7"/>
  <c r="C43" i="7"/>
  <c r="C42" i="7"/>
  <c r="C39" i="7"/>
  <c r="C40" i="7"/>
  <c r="C36" i="7"/>
  <c r="Q21" i="7"/>
  <c r="Q7" i="7"/>
  <c r="P7" i="7"/>
  <c r="P21" i="7"/>
  <c r="B40" i="7"/>
  <c r="B37" i="7"/>
  <c r="O21" i="7"/>
  <c r="D37" i="7"/>
  <c r="D38" i="7"/>
  <c r="D43" i="7"/>
  <c r="O16" i="7"/>
  <c r="D39" i="7"/>
  <c r="O8" i="7"/>
  <c r="O10" i="7"/>
  <c r="O9" i="7"/>
  <c r="P16" i="7"/>
  <c r="D41" i="7"/>
  <c r="P10" i="7"/>
  <c r="B44" i="7"/>
  <c r="P9" i="7"/>
  <c r="D42" i="7"/>
  <c r="Q16" i="7"/>
  <c r="P11" i="7"/>
  <c r="D36" i="7"/>
  <c r="B39" i="7"/>
  <c r="B38" i="7"/>
  <c r="B41" i="7"/>
  <c r="B43" i="7"/>
  <c r="B45" i="7"/>
  <c r="B42" i="7"/>
  <c r="G29" i="7"/>
  <c r="G25" i="7"/>
  <c r="G26" i="7"/>
  <c r="G31" i="7"/>
  <c r="G27" i="7"/>
  <c r="G32" i="7"/>
  <c r="G28" i="7"/>
  <c r="G30" i="7"/>
  <c r="H30" i="7"/>
  <c r="H26" i="7"/>
  <c r="H29" i="7"/>
  <c r="H32" i="7"/>
  <c r="H28" i="7"/>
  <c r="H31" i="7"/>
  <c r="H27" i="7"/>
  <c r="D35" i="5"/>
  <c r="D37" i="5"/>
  <c r="D36" i="5"/>
  <c r="D34" i="5"/>
  <c r="F46" i="7" l="1"/>
  <c r="F45" i="7"/>
  <c r="F44" i="7"/>
  <c r="F43" i="7"/>
  <c r="F42" i="7"/>
  <c r="F41" i="7"/>
  <c r="F40" i="7"/>
  <c r="F39" i="7"/>
  <c r="F38" i="7"/>
  <c r="F37" i="7"/>
  <c r="F36" i="7"/>
  <c r="H24" i="7" l="1"/>
  <c r="J7" i="10" l="1"/>
  <c r="J4" i="10"/>
  <c r="J10" i="10"/>
  <c r="J5" i="10"/>
  <c r="J8" i="10"/>
  <c r="J9" i="10"/>
  <c r="J6" i="10"/>
  <c r="G24" i="7"/>
  <c r="D41" i="5"/>
  <c r="D40" i="5"/>
  <c r="D38" i="5"/>
  <c r="D39" i="5"/>
  <c r="L24" i="7"/>
  <c r="L25" i="7" l="1"/>
  <c r="G44" i="7"/>
  <c r="G37" i="7"/>
  <c r="G43" i="7"/>
  <c r="G42" i="7"/>
  <c r="G38" i="7"/>
  <c r="G45" i="7"/>
  <c r="G39" i="7"/>
  <c r="J22" i="10"/>
  <c r="J24" i="10"/>
  <c r="J18" i="10"/>
  <c r="J20" i="10"/>
  <c r="J17" i="10"/>
  <c r="G36" i="7"/>
  <c r="J21" i="10"/>
  <c r="G40" i="7"/>
  <c r="J23" i="10"/>
  <c r="J25" i="10"/>
  <c r="J19" i="10"/>
  <c r="M24" i="7"/>
  <c r="G41" i="7"/>
  <c r="F35" i="7"/>
  <c r="G35" i="7"/>
  <c r="H41" i="7" l="1"/>
  <c r="I40" i="7" s="1"/>
  <c r="H37" i="7"/>
  <c r="I36" i="7" s="1"/>
  <c r="N24" i="7"/>
  <c r="H44" i="7"/>
  <c r="I43" i="7" s="1"/>
  <c r="H36" i="7"/>
  <c r="H39" i="7"/>
  <c r="I38" i="7" s="1"/>
  <c r="H38" i="7"/>
  <c r="I37" i="7" s="1"/>
  <c r="H40" i="7"/>
  <c r="I39" i="7" s="1"/>
  <c r="H42" i="7"/>
  <c r="I41" i="7" s="1"/>
  <c r="H43" i="7"/>
  <c r="I42" i="7" s="1"/>
  <c r="H35" i="7"/>
  <c r="I35" i="7" s="1"/>
  <c r="S6" i="7"/>
  <c r="V6" i="7" s="1"/>
  <c r="T6" i="7"/>
  <c r="W6" i="7" s="1"/>
  <c r="R6" i="7"/>
  <c r="U6" i="7" s="1"/>
  <c r="O24" i="7" l="1"/>
  <c r="X6" i="7"/>
  <c r="L6" i="7" s="1"/>
  <c r="T10" i="7"/>
  <c r="R8" i="7"/>
  <c r="S9" i="7"/>
  <c r="T14" i="7"/>
  <c r="S8" i="7"/>
  <c r="R7" i="7"/>
  <c r="U7" i="7" s="1"/>
  <c r="S14" i="7"/>
  <c r="R13" i="7"/>
  <c r="R14" i="7"/>
  <c r="S7" i="7"/>
  <c r="V7" i="7" s="1"/>
  <c r="S15" i="7"/>
  <c r="R20" i="7"/>
  <c r="S13" i="7"/>
  <c r="T8" i="7"/>
  <c r="S10" i="7"/>
  <c r="S12" i="7"/>
  <c r="S11" i="7"/>
  <c r="T7" i="7"/>
  <c r="W7" i="7" s="1"/>
  <c r="T11" i="7"/>
  <c r="T12" i="7"/>
  <c r="R11" i="7"/>
  <c r="R15" i="7"/>
  <c r="T13" i="7"/>
  <c r="T15" i="7"/>
  <c r="T20" i="7"/>
  <c r="R12" i="7"/>
  <c r="T9" i="7"/>
  <c r="R16" i="7"/>
  <c r="R18" i="7"/>
  <c r="T19" i="7"/>
  <c r="S20" i="7"/>
  <c r="S18" i="7"/>
  <c r="S16" i="7"/>
  <c r="S17" i="7"/>
  <c r="T18" i="7"/>
  <c r="T16" i="7"/>
  <c r="R19" i="7"/>
  <c r="R10" i="7"/>
  <c r="R9" i="7"/>
  <c r="R17" i="7"/>
  <c r="T17" i="7"/>
  <c r="S19" i="7"/>
  <c r="P24" i="7" l="1"/>
  <c r="X7" i="7"/>
  <c r="L7" i="7" s="1"/>
  <c r="W15" i="7"/>
  <c r="V10" i="7"/>
  <c r="W11" i="7"/>
  <c r="V9" i="7"/>
  <c r="W10" i="7"/>
  <c r="U9" i="7"/>
  <c r="W14" i="7"/>
  <c r="U8" i="7"/>
  <c r="V14" i="7"/>
  <c r="V11" i="7"/>
  <c r="V8" i="7"/>
  <c r="U16" i="7"/>
  <c r="V15" i="7"/>
  <c r="W16" i="7"/>
  <c r="W8" i="7"/>
  <c r="U12" i="7"/>
  <c r="W17" i="7"/>
  <c r="V19" i="7"/>
  <c r="U14" i="7"/>
  <c r="W20" i="7"/>
  <c r="U15" i="7"/>
  <c r="V16" i="7"/>
  <c r="W13" i="7"/>
  <c r="U17" i="7"/>
  <c r="V18" i="7"/>
  <c r="W9" i="7"/>
  <c r="V12" i="7"/>
  <c r="V13" i="7"/>
  <c r="V17" i="7"/>
  <c r="W12" i="7"/>
  <c r="U13" i="7"/>
  <c r="W19" i="7"/>
  <c r="V20" i="7"/>
  <c r="U18" i="7"/>
  <c r="U10" i="7"/>
  <c r="U11" i="7"/>
  <c r="W18" i="7"/>
  <c r="U19" i="7"/>
  <c r="U20" i="7"/>
  <c r="X16" i="7" l="1"/>
  <c r="L16" i="7" s="1"/>
  <c r="Q24" i="7"/>
  <c r="X15" i="7"/>
  <c r="L15" i="7" s="1"/>
  <c r="X8" i="7"/>
  <c r="L8" i="7" s="1"/>
  <c r="X11" i="7"/>
  <c r="L11" i="7" s="1"/>
  <c r="X18" i="7"/>
  <c r="L18" i="7" s="1"/>
  <c r="X14" i="7"/>
  <c r="L14" i="7" s="1"/>
  <c r="X19" i="7"/>
  <c r="L19" i="7" s="1"/>
  <c r="X13" i="7"/>
  <c r="L13" i="7" s="1"/>
  <c r="X17" i="7"/>
  <c r="L17" i="7" s="1"/>
  <c r="X12" i="7"/>
  <c r="L12" i="7" s="1"/>
  <c r="X9" i="7"/>
  <c r="L9" i="7" s="1"/>
  <c r="X20" i="7"/>
  <c r="L20" i="7" s="1"/>
  <c r="X10" i="7"/>
  <c r="L10" i="7" s="1"/>
  <c r="L44" i="7" l="1" a="1"/>
  <c r="V44" i="7" s="1"/>
  <c r="R24" i="7"/>
  <c r="X44" i="7" l="1"/>
  <c r="Y44" i="7"/>
  <c r="Z44" i="7"/>
  <c r="O44" i="7"/>
  <c r="L44" i="7"/>
  <c r="M44" i="7"/>
  <c r="N44" i="7"/>
  <c r="S44" i="7"/>
  <c r="P44" i="7"/>
  <c r="Q44" i="7"/>
  <c r="R44" i="7"/>
  <c r="W44" i="7"/>
  <c r="T44" i="7"/>
  <c r="U44" i="7"/>
  <c r="S24" i="7"/>
  <c r="T24" i="7" l="1"/>
  <c r="T25" i="7" s="1"/>
  <c r="T26" i="7" l="1"/>
  <c r="T29" i="7"/>
  <c r="T30" i="7"/>
  <c r="U24" i="7"/>
  <c r="T32" i="7"/>
  <c r="T28" i="7"/>
  <c r="T35" i="7"/>
  <c r="T41" i="7" s="1"/>
  <c r="T31" i="7"/>
  <c r="T27" i="7"/>
  <c r="S35" i="7"/>
  <c r="S32" i="7"/>
  <c r="S27" i="7"/>
  <c r="S28" i="7"/>
  <c r="S31" i="7"/>
  <c r="S29" i="7"/>
  <c r="S25" i="7"/>
  <c r="S26" i="7"/>
  <c r="S30" i="7"/>
  <c r="T38" i="7" l="1"/>
  <c r="T36" i="7"/>
  <c r="T39" i="7"/>
  <c r="T40" i="7"/>
  <c r="T37" i="7"/>
  <c r="V24" i="7"/>
  <c r="U31" i="7"/>
  <c r="U29" i="7"/>
  <c r="U35" i="7"/>
  <c r="U40" i="7" s="1"/>
  <c r="U26" i="7"/>
  <c r="U30" i="7"/>
  <c r="U28" i="7"/>
  <c r="U32" i="7"/>
  <c r="U27" i="7"/>
  <c r="U25" i="7"/>
  <c r="S40" i="7"/>
  <c r="S38" i="7"/>
  <c r="S36" i="7"/>
  <c r="S37" i="7"/>
  <c r="S41" i="7"/>
  <c r="S39" i="7"/>
  <c r="R35" i="7"/>
  <c r="R29" i="7"/>
  <c r="R30" i="7"/>
  <c r="R32" i="7"/>
  <c r="R31" i="7"/>
  <c r="R26" i="7"/>
  <c r="R28" i="7"/>
  <c r="R27" i="7"/>
  <c r="R25" i="7"/>
  <c r="U37" i="7" l="1"/>
  <c r="U39" i="7"/>
  <c r="U36" i="7"/>
  <c r="U38" i="7"/>
  <c r="W24" i="7"/>
  <c r="V35" i="7"/>
  <c r="V29" i="7"/>
  <c r="V25" i="7"/>
  <c r="V27" i="7"/>
  <c r="V32" i="7"/>
  <c r="V28" i="7"/>
  <c r="V31" i="7"/>
  <c r="V26" i="7"/>
  <c r="V30" i="7"/>
  <c r="U41" i="7"/>
  <c r="U43" i="7"/>
  <c r="T43" i="7"/>
  <c r="R42" i="7"/>
  <c r="S43" i="7"/>
  <c r="R43" i="7"/>
  <c r="R41" i="7"/>
  <c r="R39" i="7"/>
  <c r="R37" i="7"/>
  <c r="R36" i="7"/>
  <c r="R38" i="7"/>
  <c r="R40" i="7"/>
  <c r="Q35" i="7"/>
  <c r="Q26" i="7"/>
  <c r="Q25" i="7"/>
  <c r="Q27" i="7"/>
  <c r="Q32" i="7"/>
  <c r="Q30" i="7"/>
  <c r="Q28" i="7"/>
  <c r="Q31" i="7"/>
  <c r="Q29" i="7"/>
  <c r="X24" i="7" l="1"/>
  <c r="W25" i="7"/>
  <c r="W26" i="7"/>
  <c r="W28" i="7"/>
  <c r="W32" i="7"/>
  <c r="W35" i="7"/>
  <c r="W30" i="7"/>
  <c r="W27" i="7"/>
  <c r="W29" i="7"/>
  <c r="W31" i="7"/>
  <c r="V37" i="7"/>
  <c r="V40" i="7"/>
  <c r="V39" i="7"/>
  <c r="V36" i="7"/>
  <c r="V38" i="7"/>
  <c r="V41" i="7"/>
  <c r="V42" i="7"/>
  <c r="V43" i="7"/>
  <c r="U42" i="7"/>
  <c r="T42" i="7"/>
  <c r="S42" i="7"/>
  <c r="R45" i="7"/>
  <c r="Q43" i="7"/>
  <c r="Q41" i="7"/>
  <c r="Q39" i="7"/>
  <c r="Q37" i="7"/>
  <c r="Q40" i="7"/>
  <c r="Q36" i="7"/>
  <c r="Q38" i="7"/>
  <c r="Q42" i="7"/>
  <c r="R46" i="7"/>
  <c r="P35" i="7"/>
  <c r="P31" i="7"/>
  <c r="P26" i="7"/>
  <c r="P30" i="7"/>
  <c r="P29" i="7"/>
  <c r="P25" i="7"/>
  <c r="P28" i="7"/>
  <c r="P27" i="7"/>
  <c r="P32" i="7"/>
  <c r="V45" i="7" l="1"/>
  <c r="Y24" i="7"/>
  <c r="X29" i="7"/>
  <c r="X30" i="7"/>
  <c r="X28" i="7"/>
  <c r="X32" i="7"/>
  <c r="X35" i="7"/>
  <c r="X27" i="7"/>
  <c r="X25" i="7"/>
  <c r="X31" i="7"/>
  <c r="X26" i="7"/>
  <c r="W39" i="7"/>
  <c r="W37" i="7"/>
  <c r="W36" i="7"/>
  <c r="W38" i="7"/>
  <c r="W40" i="7"/>
  <c r="W41" i="7"/>
  <c r="W42" i="7"/>
  <c r="W43" i="7"/>
  <c r="V46" i="7"/>
  <c r="T46" i="7"/>
  <c r="T45" i="7"/>
  <c r="U46" i="7"/>
  <c r="U45" i="7"/>
  <c r="S46" i="7"/>
  <c r="S45" i="7"/>
  <c r="Q46" i="7"/>
  <c r="Q45" i="7"/>
  <c r="P42" i="7"/>
  <c r="P40" i="7"/>
  <c r="P38" i="7"/>
  <c r="P36" i="7"/>
  <c r="P43" i="7"/>
  <c r="P41" i="7"/>
  <c r="P37" i="7"/>
  <c r="P39" i="7"/>
  <c r="O35" i="7"/>
  <c r="O32" i="7"/>
  <c r="O26" i="7"/>
  <c r="O27" i="7"/>
  <c r="O28" i="7"/>
  <c r="O31" i="7"/>
  <c r="O29" i="7"/>
  <c r="O30" i="7"/>
  <c r="O25" i="7"/>
  <c r="Z24" i="7" l="1"/>
  <c r="F6" i="7" s="1" a="1"/>
  <c r="Y31" i="7"/>
  <c r="Y30" i="7"/>
  <c r="Y28" i="7"/>
  <c r="Y25" i="7"/>
  <c r="Y29" i="7"/>
  <c r="Y27" i="7"/>
  <c r="Y35" i="7"/>
  <c r="Y32" i="7"/>
  <c r="Y26" i="7"/>
  <c r="W46" i="7"/>
  <c r="W45" i="7"/>
  <c r="X37" i="7"/>
  <c r="X38" i="7"/>
  <c r="X36" i="7"/>
  <c r="X39" i="7"/>
  <c r="X40" i="7"/>
  <c r="X42" i="7"/>
  <c r="X41" i="7"/>
  <c r="X43" i="7"/>
  <c r="P46" i="7"/>
  <c r="O42" i="7"/>
  <c r="O40" i="7"/>
  <c r="O38" i="7"/>
  <c r="O36" i="7"/>
  <c r="O39" i="7"/>
  <c r="O41" i="7"/>
  <c r="O37" i="7"/>
  <c r="O43" i="7"/>
  <c r="P45" i="7"/>
  <c r="N35" i="7"/>
  <c r="N26" i="7"/>
  <c r="N29" i="7"/>
  <c r="N30" i="7"/>
  <c r="N28" i="7"/>
  <c r="N27" i="7"/>
  <c r="N25" i="7"/>
  <c r="N31" i="7"/>
  <c r="N32" i="7"/>
  <c r="F8" i="7" l="1"/>
  <c r="K8" i="7" s="1"/>
  <c r="F13" i="7"/>
  <c r="K13" i="7" s="1"/>
  <c r="F10" i="7"/>
  <c r="K10" i="7" s="1"/>
  <c r="F11" i="7"/>
  <c r="K11" i="7" s="1"/>
  <c r="F12" i="7"/>
  <c r="K12" i="7" s="1"/>
  <c r="F17" i="7"/>
  <c r="K17" i="7" s="1"/>
  <c r="F14" i="7"/>
  <c r="K14" i="7" s="1"/>
  <c r="F15" i="7"/>
  <c r="K15" i="7" s="1"/>
  <c r="F16" i="7"/>
  <c r="K16" i="7" s="1"/>
  <c r="F18" i="7"/>
  <c r="K18" i="7" s="1"/>
  <c r="F19" i="7"/>
  <c r="K19" i="7" s="1"/>
  <c r="F20" i="7"/>
  <c r="K20" i="7" s="1"/>
  <c r="F9" i="7"/>
  <c r="K9" i="7" s="1"/>
  <c r="F6" i="7"/>
  <c r="K6" i="7" s="1"/>
  <c r="F7" i="7"/>
  <c r="K7" i="7" s="1"/>
  <c r="X46" i="7"/>
  <c r="Y36" i="7"/>
  <c r="Y37" i="7"/>
  <c r="Y38" i="7"/>
  <c r="Y39" i="7"/>
  <c r="Y40" i="7"/>
  <c r="Y42" i="7"/>
  <c r="Y41" i="7"/>
  <c r="Y43" i="7"/>
  <c r="Z30" i="7"/>
  <c r="Z28" i="7"/>
  <c r="Z26" i="7"/>
  <c r="Z25" i="7"/>
  <c r="Z31" i="7"/>
  <c r="Z29" i="7"/>
  <c r="Z32" i="7"/>
  <c r="Z35" i="7"/>
  <c r="Z27" i="7"/>
  <c r="X45" i="7"/>
  <c r="O46" i="7"/>
  <c r="N43" i="7"/>
  <c r="N41" i="7"/>
  <c r="N39" i="7"/>
  <c r="N37" i="7"/>
  <c r="N42" i="7"/>
  <c r="N40" i="7"/>
  <c r="N36" i="7"/>
  <c r="N38" i="7"/>
  <c r="O45" i="7"/>
  <c r="M35" i="7"/>
  <c r="M28" i="7"/>
  <c r="M27" i="7"/>
  <c r="M32" i="7"/>
  <c r="M30" i="7"/>
  <c r="M25" i="7"/>
  <c r="M26" i="7"/>
  <c r="M31" i="7"/>
  <c r="M29" i="7"/>
  <c r="Y45" i="7" l="1"/>
  <c r="Z36" i="7"/>
  <c r="Z37" i="7"/>
  <c r="Z38" i="7"/>
  <c r="Z39" i="7"/>
  <c r="Z40" i="7"/>
  <c r="Z42" i="7"/>
  <c r="Z41" i="7"/>
  <c r="Z43" i="7"/>
  <c r="Y46" i="7"/>
  <c r="N45" i="7"/>
  <c r="M43" i="7"/>
  <c r="M41" i="7"/>
  <c r="M39" i="7"/>
  <c r="M37" i="7"/>
  <c r="M38" i="7"/>
  <c r="M36" i="7"/>
  <c r="M42" i="7"/>
  <c r="M40" i="7"/>
  <c r="N46" i="7"/>
  <c r="L35" i="7"/>
  <c r="L31" i="7"/>
  <c r="L27" i="7"/>
  <c r="L30" i="7"/>
  <c r="L28" i="7"/>
  <c r="L26" i="7"/>
  <c r="L32" i="7"/>
  <c r="L29" i="7"/>
  <c r="L36" i="7" l="1"/>
  <c r="L37" i="7"/>
  <c r="Z45" i="7"/>
  <c r="Z46" i="7"/>
  <c r="M46" i="7"/>
  <c r="L42" i="7"/>
  <c r="L40" i="7"/>
  <c r="L38" i="7"/>
  <c r="L43" i="7"/>
  <c r="L41" i="7"/>
  <c r="L39" i="7"/>
  <c r="M45" i="7"/>
  <c r="L45" i="7" l="1"/>
  <c r="L46" i="7"/>
  <c r="G6" i="7" s="1" a="1"/>
  <c r="G8" i="7" l="1"/>
  <c r="G7" i="7"/>
  <c r="G12" i="7"/>
  <c r="G16" i="7"/>
  <c r="G20" i="7"/>
  <c r="G9" i="7"/>
  <c r="G13" i="7"/>
  <c r="G17" i="7"/>
  <c r="G6" i="7"/>
  <c r="G11" i="7"/>
  <c r="G15" i="7"/>
  <c r="G19" i="7"/>
  <c r="G10" i="7"/>
  <c r="G14" i="7"/>
  <c r="G18" i="7"/>
  <c r="H6" i="7" a="1"/>
  <c r="H18" i="7" s="1"/>
  <c r="H19" i="7" l="1"/>
  <c r="H8" i="7"/>
  <c r="H14" i="7"/>
  <c r="H15" i="7"/>
  <c r="H9" i="7"/>
  <c r="H10" i="7"/>
  <c r="H11" i="7"/>
  <c r="H16" i="7"/>
  <c r="H12" i="7"/>
  <c r="H20" i="7"/>
  <c r="H17" i="7"/>
  <c r="H6" i="7"/>
  <c r="H13" i="7"/>
  <c r="H7" i="7"/>
</calcChain>
</file>

<file path=xl/comments1.xml><?xml version="1.0" encoding="utf-8"?>
<comments xmlns="http://schemas.openxmlformats.org/spreadsheetml/2006/main">
  <authors>
    <author>01404747</author>
  </authors>
  <commentList>
    <comment ref="G2" authorId="0" shapeId="0">
      <text>
        <r>
          <rPr>
            <sz val="9"/>
            <color indexed="81"/>
            <rFont val="Tahoma"/>
            <family val="2"/>
          </rPr>
          <t>To use your own standard life table, select 'Other' in cell Introduction!D16 and enter its logits here.</t>
        </r>
      </text>
    </comment>
    <comment ref="G14" authorId="0" shapeId="0">
      <text>
        <r>
          <rPr>
            <sz val="9"/>
            <color indexed="81"/>
            <rFont val="Tahoma"/>
            <family val="2"/>
          </rPr>
          <t>To use your own standard life table, select 'Other' in cell Introduction!D16 and enter its logits here.</t>
        </r>
      </text>
    </comment>
  </commentList>
</comments>
</file>

<file path=xl/sharedStrings.xml><?xml version="1.0" encoding="utf-8"?>
<sst xmlns="http://schemas.openxmlformats.org/spreadsheetml/2006/main" count="167" uniqueCount="96">
  <si>
    <t>15-19</t>
  </si>
  <si>
    <t>20-24</t>
  </si>
  <si>
    <t>25-29</t>
  </si>
  <si>
    <t>30-34</t>
  </si>
  <si>
    <t>35-39</t>
  </si>
  <si>
    <t>40-44</t>
  </si>
  <si>
    <t>45-49</t>
  </si>
  <si>
    <t>Age</t>
  </si>
  <si>
    <t>x</t>
  </si>
  <si>
    <t>0-4</t>
  </si>
  <si>
    <t>5-9</t>
  </si>
  <si>
    <t>10-14</t>
  </si>
  <si>
    <t>50-54</t>
  </si>
  <si>
    <t>55-59</t>
  </si>
  <si>
    <t>60-64</t>
  </si>
  <si>
    <r>
      <rPr>
        <b/>
        <i/>
        <sz val="11"/>
        <rFont val="Arial Narrow"/>
        <family val="2"/>
      </rPr>
      <t>l</t>
    </r>
    <r>
      <rPr>
        <b/>
        <sz val="11"/>
        <rFont val="Arial Narrow"/>
        <family val="2"/>
      </rPr>
      <t>(</t>
    </r>
    <r>
      <rPr>
        <b/>
        <i/>
        <sz val="11"/>
        <rFont val="Arial Narrow"/>
        <family val="2"/>
      </rPr>
      <t>x</t>
    </r>
    <r>
      <rPr>
        <b/>
        <sz val="11"/>
        <rFont val="Arial Narrow"/>
        <family val="2"/>
      </rPr>
      <t>)</t>
    </r>
  </si>
  <si>
    <r>
      <rPr>
        <b/>
        <i/>
        <sz val="11"/>
        <rFont val="Arial Narrow"/>
        <family val="2"/>
      </rPr>
      <t>Y</t>
    </r>
    <r>
      <rPr>
        <b/>
        <i/>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</si>
  <si>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i/>
        <vertAlign val="subscript"/>
        <sz val="11"/>
        <rFont val="Arial Narrow"/>
        <family val="2"/>
      </rPr>
      <t>x</t>
    </r>
    <r>
      <rPr>
        <b/>
        <sz val="11"/>
        <rFont val="Arial Narrow"/>
        <family val="2"/>
      </rPr>
      <t xml:space="preserve"> - 0-4</t>
    </r>
  </si>
  <si>
    <r>
      <rPr>
        <b/>
        <i/>
        <sz val="11"/>
        <rFont val="Arial Narrow"/>
        <family val="2"/>
      </rPr>
      <t>Y</t>
    </r>
    <r>
      <rPr>
        <b/>
        <i/>
        <vertAlign val="subscript"/>
        <sz val="11"/>
        <rFont val="Arial Narrow"/>
        <family val="2"/>
      </rPr>
      <t>x</t>
    </r>
    <r>
      <rPr>
        <b/>
        <sz val="11"/>
        <rFont val="Arial Narrow"/>
        <family val="2"/>
      </rPr>
      <t xml:space="preserve"> - 5-9</t>
    </r>
  </si>
  <si>
    <r>
      <rPr>
        <b/>
        <i/>
        <sz val="11"/>
        <rFont val="Arial Narrow"/>
        <family val="2"/>
      </rPr>
      <t>Y</t>
    </r>
    <r>
      <rPr>
        <b/>
        <i/>
        <vertAlign val="subscript"/>
        <sz val="11"/>
        <rFont val="Arial Narrow"/>
        <family val="2"/>
      </rPr>
      <t>x</t>
    </r>
    <r>
      <rPr>
        <b/>
        <sz val="11"/>
        <rFont val="Arial Narrow"/>
        <family val="2"/>
      </rPr>
      <t xml:space="preserve"> - 10-14</t>
    </r>
  </si>
  <si>
    <r>
      <rPr>
        <b/>
        <i/>
        <sz val="11"/>
        <rFont val="Arial Narrow"/>
        <family val="2"/>
      </rPr>
      <t>L</t>
    </r>
    <r>
      <rPr>
        <b/>
        <i/>
        <vertAlign val="subscript"/>
        <sz val="11"/>
        <rFont val="Arial Narrow"/>
        <family val="2"/>
      </rPr>
      <t>x</t>
    </r>
    <r>
      <rPr>
        <b/>
        <sz val="11"/>
        <rFont val="Arial Narrow"/>
        <family val="2"/>
      </rPr>
      <t xml:space="preserve"> - 0-4</t>
    </r>
  </si>
  <si>
    <r>
      <rPr>
        <b/>
        <i/>
        <sz val="11"/>
        <rFont val="Arial Narrow"/>
        <family val="2"/>
      </rPr>
      <t>L</t>
    </r>
    <r>
      <rPr>
        <b/>
        <i/>
        <vertAlign val="subscript"/>
        <sz val="11"/>
        <rFont val="Arial Narrow"/>
        <family val="2"/>
      </rPr>
      <t>x</t>
    </r>
    <r>
      <rPr>
        <b/>
        <sz val="11"/>
        <rFont val="Arial Narrow"/>
        <family val="2"/>
      </rPr>
      <t xml:space="preserve"> - 5-9</t>
    </r>
  </si>
  <si>
    <r>
      <rPr>
        <b/>
        <i/>
        <sz val="11"/>
        <rFont val="Arial Narrow"/>
        <family val="2"/>
      </rPr>
      <t>L</t>
    </r>
    <r>
      <rPr>
        <b/>
        <i/>
        <vertAlign val="subscript"/>
        <sz val="11"/>
        <rFont val="Arial Narrow"/>
        <family val="2"/>
      </rPr>
      <t>x</t>
    </r>
    <r>
      <rPr>
        <b/>
        <i/>
        <sz val="11"/>
        <rFont val="Arial Narrow"/>
        <family val="2"/>
      </rPr>
      <t xml:space="preserve"> - </t>
    </r>
    <r>
      <rPr>
        <b/>
        <sz val="11"/>
        <rFont val="Arial Narrow"/>
        <family val="2"/>
      </rPr>
      <t>10-14</t>
    </r>
  </si>
  <si>
    <r>
      <rPr>
        <b/>
        <i/>
        <sz val="11"/>
        <rFont val="Arial Narrow"/>
        <family val="2"/>
      </rPr>
      <t>P</t>
    </r>
    <r>
      <rPr>
        <b/>
        <i/>
        <vertAlign val="subscript"/>
        <sz val="11"/>
        <rFont val="Arial Narrow"/>
        <family val="2"/>
      </rPr>
      <t>x</t>
    </r>
    <r>
      <rPr>
        <b/>
        <sz val="11"/>
        <rFont val="Arial Narrow"/>
        <family val="2"/>
      </rPr>
      <t xml:space="preserve"> - 0-4</t>
    </r>
  </si>
  <si>
    <r>
      <rPr>
        <b/>
        <i/>
        <sz val="11"/>
        <rFont val="Arial Narrow"/>
        <family val="2"/>
      </rPr>
      <t>P</t>
    </r>
    <r>
      <rPr>
        <b/>
        <i/>
        <vertAlign val="subscript"/>
        <sz val="11"/>
        <rFont val="Arial Narrow"/>
        <family val="2"/>
      </rPr>
      <t>x</t>
    </r>
    <r>
      <rPr>
        <b/>
        <i/>
        <sz val="11"/>
        <rFont val="Arial Narrow"/>
        <family val="2"/>
      </rPr>
      <t xml:space="preserve"> </t>
    </r>
    <r>
      <rPr>
        <b/>
        <sz val="11"/>
        <rFont val="Arial Narrow"/>
        <family val="2"/>
      </rPr>
      <t>- 5-9</t>
    </r>
  </si>
  <si>
    <r>
      <rPr>
        <b/>
        <i/>
        <sz val="11"/>
        <rFont val="Arial Narrow"/>
        <family val="2"/>
      </rPr>
      <t>P</t>
    </r>
    <r>
      <rPr>
        <b/>
        <i/>
        <vertAlign val="subscript"/>
        <sz val="11"/>
        <rFont val="Arial Narrow"/>
        <family val="2"/>
      </rPr>
      <t>x</t>
    </r>
    <r>
      <rPr>
        <b/>
        <sz val="11"/>
        <rFont val="Arial Narrow"/>
        <family val="2"/>
      </rPr>
      <t xml:space="preserve"> - 10-14</t>
    </r>
  </si>
  <si>
    <t>Date:</t>
  </si>
  <si>
    <t>Beta</t>
  </si>
  <si>
    <t>Alpha</t>
  </si>
  <si>
    <t>http://demographicestimation.iussp.org/content/reverse-survival-methods</t>
  </si>
  <si>
    <t>Cette méthode est présentée dans:</t>
  </si>
  <si>
    <t>Estimation de la fécondité par la survie inverse année par année  - Instructions</t>
  </si>
  <si>
    <t>Définir les paramètres d'entrée</t>
  </si>
  <si>
    <t>Pays</t>
  </si>
  <si>
    <t>Date de recensement</t>
  </si>
  <si>
    <r>
      <t>Pour la mortalité des jeunes enfants, vous pouvez entrer des estimations soit de la probabilité de décéder avant l'âge de 5 ans (</t>
    </r>
    <r>
      <rPr>
        <vertAlign val="subscript"/>
        <sz val="12"/>
        <rFont val="Arial"/>
        <family val="2"/>
      </rPr>
      <t>5</t>
    </r>
    <r>
      <rPr>
        <i/>
        <sz val="12"/>
        <rFont val="Arial"/>
        <family val="2"/>
      </rPr>
      <t>q</t>
    </r>
    <r>
      <rPr>
        <vertAlign val="subscript"/>
        <sz val="12"/>
        <rFont val="Arial"/>
        <family val="2"/>
      </rPr>
      <t>0</t>
    </r>
    <r>
      <rPr>
        <sz val="12"/>
        <rFont val="Arial"/>
        <family val="2"/>
      </rPr>
      <t xml:space="preserve">) soit de alpha, le paramètre définissant le niveau de la mortalité par référence à une table de mortalité standard (ceci peut être calculé à partir de n'importe quel indice de mortalité des jeunes enfants). Dans l'un et l'autre cas, vous pouvez soit soit laisser béta à sa valeur centrale de 1, soit l'ajuster pour modifier la pente de la mortalité dans la table de mortalité standard. </t>
    </r>
  </si>
  <si>
    <r>
      <t>Pour la mortalité adulte, vous pouvez entrer des estimations soit de la probabilité qu'une personne âgée de 15 ans décède avant 60 ans (</t>
    </r>
    <r>
      <rPr>
        <vertAlign val="subscript"/>
        <sz val="12"/>
        <rFont val="Arial"/>
        <family val="2"/>
      </rPr>
      <t>45</t>
    </r>
    <r>
      <rPr>
        <i/>
        <sz val="12"/>
        <rFont val="Arial"/>
        <family val="2"/>
      </rPr>
      <t>q</t>
    </r>
    <r>
      <rPr>
        <vertAlign val="subscript"/>
        <sz val="12"/>
        <rFont val="Arial"/>
        <family val="2"/>
      </rPr>
      <t>15</t>
    </r>
    <r>
      <rPr>
        <sz val="12"/>
        <rFont val="Arial"/>
        <family val="2"/>
      </rPr>
      <t>) or soit de alpha, le paramètre définissant le niveau de la mortalité par référence à une table de mortalité standard. Dans l'un et l'autre cas, vous pouvez soit soit laisser béta à sa valeur centrale de 1, soit l'ajuster pour modifier la pente de la mortalité dans la table de mortalité standard.</t>
    </r>
  </si>
  <si>
    <t>Résultats</t>
  </si>
  <si>
    <t>Mortalité</t>
  </si>
  <si>
    <t>Famille de tables-types de mortalité</t>
  </si>
  <si>
    <t>Périodes avant l'enquête</t>
  </si>
  <si>
    <t>Alpha enfants</t>
  </si>
  <si>
    <t>Béta enfants</t>
  </si>
  <si>
    <t>Alpha adultes</t>
  </si>
  <si>
    <t>Béta adultes</t>
  </si>
  <si>
    <t>Fécondité</t>
  </si>
  <si>
    <t>Nombre de séries utilisées</t>
  </si>
  <si>
    <t>Source de données de fécondité</t>
  </si>
  <si>
    <t>Source de données de mortalité</t>
  </si>
  <si>
    <r>
      <t xml:space="preserve">Logits des tables-types de mortalité </t>
    </r>
    <r>
      <rPr>
        <b/>
        <i/>
        <sz val="11"/>
        <rFont val="Arial Narrow"/>
        <family val="2"/>
      </rPr>
      <t>e</t>
    </r>
    <r>
      <rPr>
        <b/>
        <vertAlign val="subscript"/>
        <sz val="11"/>
        <rFont val="Arial Narrow"/>
        <family val="2"/>
      </rPr>
      <t>0</t>
    </r>
    <r>
      <rPr>
        <b/>
        <sz val="11"/>
        <rFont val="Arial Narrow"/>
        <family val="2"/>
      </rPr>
      <t>=60, sexes réunis</t>
    </r>
  </si>
  <si>
    <t>NU Général</t>
  </si>
  <si>
    <t>Princeton Nord</t>
  </si>
  <si>
    <t>Princeton Sud</t>
  </si>
  <si>
    <t>Princeton Est</t>
  </si>
  <si>
    <t>Princeton Ouest</t>
  </si>
  <si>
    <t>Autre</t>
  </si>
  <si>
    <r>
      <t xml:space="preserve">Logits des tables-types de mortalité </t>
    </r>
    <r>
      <rPr>
        <b/>
        <i/>
        <sz val="11"/>
        <rFont val="Arial Narrow"/>
        <family val="2"/>
      </rPr>
      <t>e</t>
    </r>
    <r>
      <rPr>
        <b/>
        <vertAlign val="subscript"/>
        <sz val="11"/>
        <rFont val="Arial Narrow"/>
        <family val="2"/>
      </rPr>
      <t>0</t>
    </r>
    <r>
      <rPr>
        <b/>
        <sz val="11"/>
        <rFont val="Arial Narrow"/>
        <family val="2"/>
      </rPr>
      <t>=60, femmes</t>
    </r>
  </si>
  <si>
    <t>Date recensement</t>
  </si>
  <si>
    <t>Table-type utilisée</t>
  </si>
  <si>
    <t>Table-type sélectionnée</t>
  </si>
  <si>
    <t xml:space="preserve"> Gompits standard (Standard modifié Zaba))</t>
  </si>
  <si>
    <t>Enfants</t>
  </si>
  <si>
    <t>Femmes</t>
  </si>
  <si>
    <t>Mi année</t>
  </si>
  <si>
    <t>TGF  (15-49)</t>
  </si>
  <si>
    <t>ISF</t>
  </si>
  <si>
    <t>Survie inverse des enfants</t>
  </si>
  <si>
    <t>Naissances</t>
  </si>
  <si>
    <t>Béta</t>
  </si>
  <si>
    <t>Calcul des ratios de survie des cohortes, Enfants</t>
  </si>
  <si>
    <t>Groupe d'âge</t>
  </si>
  <si>
    <t>Calcul des ratios de survie pour les mères</t>
  </si>
  <si>
    <t>Survie inverse des mères à intervalle de 5 ans</t>
  </si>
  <si>
    <t>Femmes à mi-année par période annuelle avant le recensement</t>
  </si>
  <si>
    <t>TGF (15-49)</t>
  </si>
  <si>
    <t xml:space="preserve">Cette feuille de calcul estime la fécondité pour chacune des 15 années précédant dans un recensement (ou une grande enquête). Elle s'appuie sur la distribution par âge de la population, des estimations de la mortalité des enfants et des femmes d'âge fécond pendant ces 15 années, et (pour estimer l'indice synthétique de fécondité) des estimations - ou des hypothèses - concernant le schéma par âge de la fécondité. </t>
  </si>
  <si>
    <t>Saisir le nom du pays et la référence des données dans l'encadré vert à droite de la cellule</t>
  </si>
  <si>
    <t xml:space="preserve">Enregistrer la date de l'enquête dans l'encadré vert à droite de la cellule </t>
  </si>
  <si>
    <t>Définir les paramètres de mortalité pour la méthode dans l'encadré vert à droite de la cellule.</t>
  </si>
  <si>
    <t xml:space="preserve">Définir les hypothèses concernant le schéma par âge de la fécondité dans l'encadré vert à droite de la cellule. Vous pouvez entrer soit des estimations de la fécondité par âge soit les paramètres d'un modèle relationnel de Gompertz de fécondité. Si vous supposez que le schéma par âge de la fécondité reste inchangé, entrez l'information dans la colonne de gauche des cellules. Si vous fournissez les informations sur la fécondité à deux dates différentes, entrez la seconde date et les valeurs afférentes dans la colonne de gauche des cellules et la première date et les valeurs afférentes dans la colonne de droite des cellules. </t>
  </si>
  <si>
    <r>
      <t xml:space="preserve">Placer la population dénombrée des enfants de moins de 15 ans des deux sexes, pondérée si nécessaire, dans les cellules </t>
    </r>
    <r>
      <rPr>
        <b/>
        <sz val="12"/>
        <rFont val="Arial"/>
        <family val="2"/>
      </rPr>
      <t>B6:B20</t>
    </r>
    <r>
      <rPr>
        <sz val="12"/>
        <rFont val="Arial"/>
        <family val="2"/>
      </rPr>
      <t xml:space="preserve"> de la feuille </t>
    </r>
    <r>
      <rPr>
        <b/>
        <i/>
        <sz val="12"/>
        <rFont val="Arial"/>
        <family val="2"/>
      </rPr>
      <t>Méthode</t>
    </r>
    <r>
      <rPr>
        <sz val="12"/>
        <rFont val="Arial"/>
        <family val="2"/>
      </rPr>
      <t xml:space="preserve">. </t>
    </r>
  </si>
  <si>
    <r>
      <t xml:space="preserve">Placer la population dénombrée des femmes de 15-64 ans, pondérée si nécessaire, dans les cellules </t>
    </r>
    <r>
      <rPr>
        <b/>
        <sz val="12"/>
        <rFont val="Arial"/>
        <family val="2"/>
      </rPr>
      <t>D6:D16</t>
    </r>
    <r>
      <rPr>
        <sz val="12"/>
        <rFont val="Arial"/>
        <family val="2"/>
      </rPr>
      <t xml:space="preserve"> de la feuille </t>
    </r>
    <r>
      <rPr>
        <b/>
        <i/>
        <sz val="12"/>
        <rFont val="Arial"/>
        <family val="2"/>
      </rPr>
      <t>Méthode</t>
    </r>
    <r>
      <rPr>
        <sz val="12"/>
        <rFont val="Arial"/>
        <family val="2"/>
      </rPr>
      <t>.</t>
    </r>
  </si>
  <si>
    <r>
      <t xml:space="preserve">L'indice synthétique de fécondité par année figure dans les cellules </t>
    </r>
    <r>
      <rPr>
        <b/>
        <sz val="12"/>
        <rFont val="Arial"/>
        <family val="2"/>
      </rPr>
      <t>H6:H20</t>
    </r>
    <r>
      <rPr>
        <sz val="12"/>
        <rFont val="Arial"/>
        <family val="2"/>
      </rPr>
      <t xml:space="preserve"> de la feuille </t>
    </r>
    <r>
      <rPr>
        <b/>
        <i/>
        <sz val="12"/>
        <rFont val="Arial"/>
        <family val="2"/>
      </rPr>
      <t>Méthode.</t>
    </r>
    <r>
      <rPr>
        <sz val="12"/>
        <rFont val="Arial"/>
        <family val="2"/>
      </rPr>
      <t xml:space="preserve"> </t>
    </r>
  </si>
  <si>
    <t>Source de données mortalité</t>
  </si>
  <si>
    <r>
      <t xml:space="preserve">Probabilités de décéder: </t>
    </r>
    <r>
      <rPr>
        <vertAlign val="subscript"/>
        <sz val="10"/>
        <rFont val="Arial"/>
        <family val="2"/>
      </rPr>
      <t>5</t>
    </r>
    <r>
      <rPr>
        <i/>
        <sz val="10"/>
        <rFont val="Arial"/>
        <family val="2"/>
      </rPr>
      <t>q</t>
    </r>
    <r>
      <rPr>
        <vertAlign val="subscript"/>
        <sz val="10"/>
        <rFont val="Arial"/>
        <family val="2"/>
      </rPr>
      <t>0</t>
    </r>
    <r>
      <rPr>
        <sz val="10"/>
        <rFont val="Arial"/>
        <family val="2"/>
      </rPr>
      <t xml:space="preserve"> &amp; </t>
    </r>
    <r>
      <rPr>
        <vertAlign val="subscript"/>
        <sz val="10"/>
        <rFont val="Arial"/>
        <family val="2"/>
      </rPr>
      <t>45</t>
    </r>
    <r>
      <rPr>
        <i/>
        <sz val="10"/>
        <rFont val="Arial"/>
        <family val="2"/>
      </rPr>
      <t>q</t>
    </r>
    <r>
      <rPr>
        <vertAlign val="subscript"/>
        <sz val="10"/>
        <rFont val="Arial"/>
        <family val="2"/>
      </rPr>
      <t>15</t>
    </r>
  </si>
  <si>
    <t>Source de données fécondité</t>
  </si>
  <si>
    <t>Schémas de taux de fécondité</t>
  </si>
  <si>
    <t>Paramètres relationnels de Gompertz</t>
  </si>
  <si>
    <t xml:space="preserve">Paramètres relationnels table de mortalité </t>
  </si>
  <si>
    <t>Nombre de sources de fécondité</t>
  </si>
  <si>
    <t>1 série</t>
  </si>
  <si>
    <t>2 séries</t>
  </si>
  <si>
    <t>Standardisation des taux de fécondité</t>
  </si>
  <si>
    <r>
      <rPr>
        <b/>
        <i/>
        <sz val="11"/>
        <rFont val="Arial Narrow"/>
        <family val="2"/>
      </rPr>
      <t>L</t>
    </r>
    <r>
      <rPr>
        <b/>
        <i/>
        <vertAlign val="subscript"/>
        <sz val="11"/>
        <rFont val="Arial Narrow"/>
        <family val="2"/>
      </rPr>
      <t>x</t>
    </r>
    <r>
      <rPr>
        <b/>
        <sz val="11"/>
        <rFont val="Arial Narrow"/>
        <family val="2"/>
      </rPr>
      <t xml:space="preserve"> - Cohorte</t>
    </r>
  </si>
  <si>
    <t>Taux de fécondité par période annuelle avant le recensement</t>
  </si>
  <si>
    <t>Cambodge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</si>
</sst>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00"/>
    <numFmt numFmtId="165" formatCode="General_)"/>
    <numFmt numFmtId="166" formatCode="[$-1C09]dd\ mmmm\ yyyy;@"/>
    <numFmt numFmtId="167" formatCode="0_)"/>
    <numFmt numFmtId="168" formatCode="0.0_)"/>
    <numFmt numFmtId="169" formatCode="0.00_)"/>
    <numFmt numFmtId="170" formatCode="0.0000_)"/>
    <numFmt numFmtId="171" formatCode="_ * #,##0_ ;_ * \-#,##0_ ;_ * &quot;-&quot;??_ ;_ @_ "/>
    <numFmt numFmtId="172" formatCode="0___)"/>
    <numFmt numFmtId="173" formatCode="_ * #,##0.000_ ;_ * \-#,##0.000_ ;_ * &quot;-&quot;??_ ;_ @_ "/>
    <numFmt numFmtId="174" formatCode="_ * #,##0.0000_ ;_ * \-#,##0.0000_ ;_ * &quot;-&quot;??_ ;_ @_ "/>
    <numFmt numFmtId="175" formatCode="0.00000_)"/>
    <numFmt numFmtId="176" formatCode="0.000_)"/>
  </numFmts>
  <fonts count="32" x14ac:knownFonts="1">
    <font>
      <sz val="12"/>
      <color theme="1"/>
      <name val="Arial"/>
      <family val="2"/>
    </font>
    <font>
      <sz val="11"/>
      <color rgb="FF006100"/>
      <name val="Calibri"/>
      <family val="2"/>
      <scheme val="minor"/>
    </font>
    <font>
      <sz val="9"/>
      <color indexed="81"/>
      <name val="Tahoma"/>
      <family val="2"/>
    </font>
    <font>
      <sz val="11"/>
      <color rgb="FF9C6500"/>
      <name val="Calibri"/>
      <family val="2"/>
      <scheme val="minor"/>
    </font>
    <font>
      <sz val="10"/>
      <name val="Arial"/>
      <family val="2"/>
    </font>
    <font>
      <b/>
      <sz val="12"/>
      <name val="Arial"/>
      <family val="2"/>
    </font>
    <font>
      <sz val="12"/>
      <name val="Arial"/>
      <family val="2"/>
    </font>
    <font>
      <u/>
      <sz val="10"/>
      <color theme="10"/>
      <name val="Arial"/>
      <family val="2"/>
    </font>
    <font>
      <b/>
      <sz val="12"/>
      <color rgb="FF006100"/>
      <name val="Arial"/>
      <family val="2"/>
    </font>
    <font>
      <sz val="12"/>
      <color rgb="FF006100"/>
      <name val="Arial"/>
      <family val="2"/>
    </font>
    <font>
      <sz val="12"/>
      <color theme="1"/>
      <name val="Arial"/>
      <family val="2"/>
    </font>
    <font>
      <sz val="10"/>
      <color rgb="FF006100"/>
      <name val="Arial"/>
      <family val="2"/>
    </font>
    <font>
      <sz val="10"/>
      <color rgb="FF9C6500"/>
      <name val="Arial"/>
      <family val="2"/>
    </font>
    <font>
      <sz val="12"/>
      <name val="Helv"/>
    </font>
    <font>
      <sz val="11"/>
      <name val="Arial"/>
      <family val="2"/>
    </font>
    <font>
      <sz val="12"/>
      <name val="Courier"/>
      <family val="3"/>
    </font>
    <font>
      <b/>
      <sz val="11"/>
      <name val="Arial Narrow"/>
      <family val="2"/>
    </font>
    <font>
      <b/>
      <i/>
      <sz val="11"/>
      <name val="Arial Narrow"/>
      <family val="2"/>
    </font>
    <font>
      <b/>
      <vertAlign val="subscript"/>
      <sz val="11"/>
      <name val="Arial Narrow"/>
      <family val="2"/>
    </font>
    <font>
      <sz val="11"/>
      <color theme="1"/>
      <name val="Calibri"/>
      <family val="2"/>
      <scheme val="minor"/>
    </font>
    <font>
      <b/>
      <sz val="10"/>
      <name val="Arial"/>
      <family val="2"/>
    </font>
    <font>
      <b/>
      <i/>
      <vertAlign val="subscript"/>
      <sz val="11"/>
      <name val="Arial Narrow"/>
      <family val="2"/>
    </font>
    <font>
      <b/>
      <sz val="10"/>
      <color rgb="FF9C6500"/>
      <name val="Arial"/>
      <family val="2"/>
    </font>
    <font>
      <sz val="12"/>
      <color rgb="FFFF0000"/>
      <name val="Arial"/>
      <family val="2"/>
    </font>
    <font>
      <sz val="11"/>
      <color theme="1"/>
      <name val="Arial Narrow"/>
      <family val="2"/>
    </font>
    <font>
      <b/>
      <i/>
      <sz val="12"/>
      <name val="Arial"/>
      <family val="2"/>
    </font>
    <font>
      <u/>
      <sz val="12"/>
      <color theme="10"/>
      <name val="Arial"/>
      <family val="2"/>
    </font>
    <font>
      <i/>
      <sz val="12"/>
      <name val="Arial"/>
      <family val="2"/>
    </font>
    <font>
      <vertAlign val="subscript"/>
      <sz val="12"/>
      <name val="Arial"/>
      <family val="2"/>
    </font>
    <font>
      <i/>
      <sz val="10"/>
      <name val="Arial"/>
      <family val="2"/>
    </font>
    <font>
      <vertAlign val="subscript"/>
      <sz val="10"/>
      <name val="Arial"/>
      <family val="2"/>
    </font>
    <font>
      <b/>
      <sz val="12"/>
      <color rgb="FF9C6500"/>
      <name val="Arial"/>
      <family val="2"/>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FEB9C"/>
        <bgColor indexed="64"/>
      </patternFill>
    </fill>
    <fill>
      <patternFill patternType="solid">
        <fgColor theme="0"/>
        <bgColor indexed="64"/>
      </patternFill>
    </fill>
    <fill>
      <patternFill patternType="solid">
        <fgColor rgb="FF92D050"/>
        <bgColor indexed="64"/>
      </patternFill>
    </fill>
    <fill>
      <patternFill patternType="solid">
        <fgColor rgb="FFC6EFCE"/>
        <bgColor indexed="64"/>
      </patternFill>
    </fill>
  </fills>
  <borders count="2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style="medium">
        <color indexed="64"/>
      </right>
      <top style="thin">
        <color rgb="FF006100"/>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1" fillId="2" borderId="0" applyNumberFormat="0" applyBorder="0" applyAlignment="0" applyProtection="0"/>
    <xf numFmtId="0" fontId="3" fillId="3" borderId="0" applyNumberFormat="0" applyBorder="0" applyAlignment="0" applyProtection="0"/>
    <xf numFmtId="0" fontId="4" fillId="0" borderId="0"/>
    <xf numFmtId="0" fontId="7" fillId="0" borderId="0" applyNumberFormat="0" applyFill="0" applyBorder="0" applyAlignment="0" applyProtection="0">
      <alignment vertical="top"/>
      <protection locked="0"/>
    </xf>
    <xf numFmtId="167" fontId="13" fillId="0" borderId="0"/>
    <xf numFmtId="165" fontId="15" fillId="0" borderId="0"/>
    <xf numFmtId="43" fontId="19" fillId="0" borderId="0" applyFont="0" applyFill="0" applyBorder="0" applyAlignment="0" applyProtection="0"/>
  </cellStyleXfs>
  <cellXfs count="181">
    <xf numFmtId="0" fontId="0" fillId="0" borderId="0" xfId="0"/>
    <xf numFmtId="167" fontId="14" fillId="0" borderId="0" xfId="5" applyFont="1"/>
    <xf numFmtId="168" fontId="14" fillId="0" borderId="0" xfId="5" applyNumberFormat="1" applyFont="1"/>
    <xf numFmtId="169" fontId="14" fillId="0" borderId="0" xfId="5" applyNumberFormat="1" applyFont="1"/>
    <xf numFmtId="167" fontId="4" fillId="0" borderId="0" xfId="5" applyFont="1" applyAlignment="1" applyProtection="1"/>
    <xf numFmtId="169" fontId="4" fillId="0" borderId="0" xfId="5" applyNumberFormat="1" applyFont="1" applyAlignment="1" applyProtection="1"/>
    <xf numFmtId="170" fontId="4" fillId="0" borderId="0" xfId="5" applyNumberFormat="1" applyFont="1" applyAlignment="1" applyProtection="1"/>
    <xf numFmtId="2" fontId="11" fillId="0" borderId="0" xfId="1" applyNumberFormat="1" applyFont="1" applyFill="1" applyBorder="1" applyAlignment="1" applyProtection="1">
      <alignment horizontal="right"/>
      <protection locked="0"/>
    </xf>
    <xf numFmtId="167" fontId="4" fillId="0" borderId="0" xfId="5" applyFont="1" applyFill="1" applyAlignment="1" applyProtection="1">
      <alignment horizontal="right"/>
    </xf>
    <xf numFmtId="167" fontId="6" fillId="0" borderId="0" xfId="5" applyFont="1" applyAlignment="1" applyProtection="1"/>
    <xf numFmtId="165" fontId="16" fillId="5" borderId="9" xfId="6" applyFont="1" applyFill="1" applyBorder="1" applyAlignment="1" applyProtection="1">
      <alignment horizontal="center"/>
    </xf>
    <xf numFmtId="167" fontId="4" fillId="6" borderId="0" xfId="5" applyFont="1" applyFill="1" applyAlignment="1" applyProtection="1"/>
    <xf numFmtId="167" fontId="16" fillId="0" borderId="9" xfId="5" applyFont="1" applyFill="1" applyBorder="1" applyAlignment="1" applyProtection="1">
      <alignment horizontal="center"/>
    </xf>
    <xf numFmtId="167" fontId="16" fillId="0" borderId="0" xfId="5" applyFont="1" applyBorder="1" applyAlignment="1" applyProtection="1">
      <alignment horizontal="center"/>
    </xf>
    <xf numFmtId="167" fontId="20" fillId="0" borderId="0" xfId="5" applyFont="1" applyAlignment="1" applyProtection="1">
      <alignment horizontal="right"/>
    </xf>
    <xf numFmtId="170" fontId="20" fillId="0" borderId="0" xfId="5" applyNumberFormat="1" applyFont="1" applyAlignment="1" applyProtection="1">
      <alignment horizontal="right"/>
    </xf>
    <xf numFmtId="165" fontId="16" fillId="0" borderId="9" xfId="6" applyFont="1" applyFill="1" applyBorder="1" applyAlignment="1" applyProtection="1">
      <alignment horizontal="center"/>
    </xf>
    <xf numFmtId="165" fontId="17" fillId="0" borderId="9" xfId="6" applyFont="1" applyFill="1" applyBorder="1" applyAlignment="1" applyProtection="1">
      <alignment horizontal="center"/>
    </xf>
    <xf numFmtId="167" fontId="20" fillId="0" borderId="0" xfId="5" applyFont="1" applyFill="1" applyBorder="1" applyAlignment="1" applyProtection="1">
      <alignment horizontal="right"/>
    </xf>
    <xf numFmtId="167" fontId="4" fillId="0" borderId="0" xfId="5" applyFont="1" applyBorder="1" applyAlignment="1" applyProtection="1"/>
    <xf numFmtId="167" fontId="16" fillId="0" borderId="9" xfId="5" applyFont="1" applyFill="1" applyBorder="1" applyAlignment="1" applyProtection="1"/>
    <xf numFmtId="167" fontId="20" fillId="0" borderId="0" xfId="5" applyFont="1" applyAlignment="1" applyProtection="1"/>
    <xf numFmtId="169" fontId="12" fillId="3" borderId="0" xfId="2" applyNumberFormat="1" applyFont="1" applyAlignment="1" applyProtection="1"/>
    <xf numFmtId="171" fontId="4" fillId="0" borderId="0" xfId="7" applyNumberFormat="1" applyFont="1" applyAlignment="1" applyProtection="1"/>
    <xf numFmtId="0" fontId="4" fillId="6" borderId="0" xfId="3" applyFont="1" applyFill="1" applyAlignment="1"/>
    <xf numFmtId="167" fontId="4" fillId="6" borderId="3" xfId="5" applyFont="1" applyFill="1" applyBorder="1" applyAlignment="1" applyProtection="1"/>
    <xf numFmtId="167" fontId="4" fillId="6" borderId="1" xfId="5" applyFont="1" applyFill="1" applyBorder="1" applyAlignment="1" applyProtection="1"/>
    <xf numFmtId="167" fontId="4" fillId="6" borderId="4" xfId="5" applyFont="1" applyFill="1" applyBorder="1" applyAlignment="1" applyProtection="1"/>
    <xf numFmtId="167" fontId="4" fillId="0" borderId="0" xfId="5" applyFont="1" applyFill="1" applyAlignment="1" applyProtection="1"/>
    <xf numFmtId="169" fontId="22" fillId="3" borderId="0" xfId="2" applyNumberFormat="1" applyFont="1" applyAlignment="1" applyProtection="1"/>
    <xf numFmtId="167" fontId="16" fillId="0" borderId="2" xfId="5" applyFont="1" applyBorder="1" applyAlignment="1" applyProtection="1">
      <alignment horizontal="left"/>
    </xf>
    <xf numFmtId="169" fontId="20" fillId="0" borderId="9" xfId="5" applyNumberFormat="1" applyFont="1" applyBorder="1" applyAlignment="1" applyProtection="1"/>
    <xf numFmtId="167" fontId="6" fillId="0" borderId="5" xfId="5" applyFont="1" applyBorder="1" applyAlignment="1" applyProtection="1"/>
    <xf numFmtId="167" fontId="6" fillId="0" borderId="0" xfId="5" applyFont="1" applyBorder="1" applyAlignment="1" applyProtection="1"/>
    <xf numFmtId="167" fontId="6" fillId="0" borderId="8" xfId="5" applyFont="1" applyBorder="1" applyAlignment="1" applyProtection="1"/>
    <xf numFmtId="167" fontId="6" fillId="0" borderId="0" xfId="5" applyFont="1" applyBorder="1" applyAlignment="1" applyProtection="1">
      <alignment horizontal="right"/>
    </xf>
    <xf numFmtId="167" fontId="6" fillId="0" borderId="8" xfId="5" applyFont="1" applyBorder="1" applyAlignment="1" applyProtection="1">
      <alignment horizontal="right"/>
    </xf>
    <xf numFmtId="167" fontId="6" fillId="0" borderId="6" xfId="5" applyFont="1" applyBorder="1" applyAlignment="1" applyProtection="1">
      <alignment horizontal="right"/>
    </xf>
    <xf numFmtId="167" fontId="6" fillId="0" borderId="5" xfId="5" applyFont="1" applyBorder="1" applyAlignment="1" applyProtection="1">
      <alignment horizontal="right"/>
    </xf>
    <xf numFmtId="167" fontId="6" fillId="0" borderId="13" xfId="5" applyFont="1" applyBorder="1" applyAlignment="1" applyProtection="1">
      <alignment horizontal="right"/>
    </xf>
    <xf numFmtId="169" fontId="20" fillId="0" borderId="0" xfId="5" applyNumberFormat="1" applyFont="1" applyAlignment="1" applyProtection="1">
      <alignment horizontal="right"/>
    </xf>
    <xf numFmtId="167" fontId="16" fillId="0" borderId="2" xfId="5" applyFont="1" applyBorder="1" applyAlignment="1" applyProtection="1">
      <alignment horizontal="center"/>
    </xf>
    <xf numFmtId="171" fontId="11" fillId="2" borderId="0" xfId="7" applyNumberFormat="1" applyFont="1" applyFill="1" applyBorder="1" applyAlignment="1" applyProtection="1">
      <alignment horizontal="right"/>
      <protection locked="0"/>
    </xf>
    <xf numFmtId="167" fontId="20" fillId="0" borderId="0" xfId="5" applyFont="1" applyBorder="1" applyAlignment="1" applyProtection="1">
      <alignment horizontal="right"/>
    </xf>
    <xf numFmtId="167" fontId="16" fillId="0" borderId="9" xfId="5" applyFont="1" applyBorder="1" applyAlignment="1" applyProtection="1">
      <alignment horizontal="center"/>
    </xf>
    <xf numFmtId="167" fontId="20" fillId="0" borderId="2" xfId="5" applyFont="1" applyBorder="1" applyAlignment="1" applyProtection="1"/>
    <xf numFmtId="171" fontId="11" fillId="2" borderId="2" xfId="7" applyNumberFormat="1" applyFont="1" applyFill="1" applyBorder="1" applyAlignment="1" applyProtection="1">
      <alignment horizontal="right"/>
      <protection locked="0"/>
    </xf>
    <xf numFmtId="167" fontId="4" fillId="0" borderId="2" xfId="5" applyFont="1" applyBorder="1" applyAlignment="1" applyProtection="1"/>
    <xf numFmtId="169" fontId="22" fillId="3" borderId="2" xfId="2" applyNumberFormat="1" applyFont="1" applyBorder="1" applyAlignment="1" applyProtection="1"/>
    <xf numFmtId="169" fontId="12" fillId="3" borderId="2" xfId="2" applyNumberFormat="1" applyFont="1" applyBorder="1" applyAlignment="1" applyProtection="1"/>
    <xf numFmtId="171" fontId="4" fillId="0" borderId="2" xfId="7" applyNumberFormat="1" applyFont="1" applyBorder="1" applyAlignment="1" applyProtection="1"/>
    <xf numFmtId="167" fontId="20" fillId="0" borderId="9" xfId="5" applyFont="1" applyBorder="1" applyAlignment="1" applyProtection="1">
      <alignment horizontal="center"/>
    </xf>
    <xf numFmtId="167" fontId="20" fillId="0" borderId="2" xfId="5" applyFont="1" applyFill="1" applyBorder="1" applyAlignment="1" applyProtection="1">
      <alignment horizontal="right"/>
    </xf>
    <xf numFmtId="170" fontId="4" fillId="0" borderId="2" xfId="5" applyNumberFormat="1" applyFont="1" applyBorder="1" applyAlignment="1" applyProtection="1"/>
    <xf numFmtId="167" fontId="4" fillId="0" borderId="2" xfId="5" applyFont="1" applyFill="1" applyBorder="1" applyAlignment="1" applyProtection="1"/>
    <xf numFmtId="0" fontId="6" fillId="0" borderId="0" xfId="3" applyFont="1" applyAlignment="1" applyProtection="1">
      <alignment wrapText="1"/>
    </xf>
    <xf numFmtId="0" fontId="6" fillId="0" borderId="0" xfId="3" applyFont="1" applyAlignment="1" applyProtection="1">
      <alignment horizontal="center" wrapText="1"/>
    </xf>
    <xf numFmtId="0" fontId="4" fillId="0" borderId="0" xfId="3" applyFont="1" applyAlignment="1" applyProtection="1">
      <alignment wrapText="1"/>
    </xf>
    <xf numFmtId="0" fontId="6" fillId="0" borderId="0" xfId="3" applyFont="1" applyProtection="1"/>
    <xf numFmtId="0" fontId="6" fillId="0" borderId="0" xfId="3" applyFont="1" applyAlignment="1" applyProtection="1">
      <alignment horizontal="center"/>
    </xf>
    <xf numFmtId="0" fontId="4" fillId="0" borderId="0" xfId="3" applyFont="1" applyProtection="1"/>
    <xf numFmtId="0" fontId="6" fillId="0" borderId="0" xfId="3" applyFont="1" applyBorder="1" applyProtection="1"/>
    <xf numFmtId="0" fontId="5" fillId="0" borderId="0" xfId="3" applyFont="1" applyProtection="1"/>
    <xf numFmtId="0" fontId="6" fillId="0" borderId="0" xfId="3" applyFont="1" applyAlignment="1" applyProtection="1">
      <alignment vertical="top"/>
    </xf>
    <xf numFmtId="0" fontId="6" fillId="0" borderId="0" xfId="3" applyFont="1" applyAlignment="1" applyProtection="1">
      <alignment vertical="top" wrapText="1"/>
    </xf>
    <xf numFmtId="0" fontId="6" fillId="0" borderId="6" xfId="3" applyFont="1" applyBorder="1" applyAlignment="1" applyProtection="1">
      <alignment horizontal="right"/>
    </xf>
    <xf numFmtId="0" fontId="6" fillId="0" borderId="5" xfId="3" applyFont="1" applyBorder="1" applyAlignment="1" applyProtection="1">
      <alignment horizontal="right"/>
    </xf>
    <xf numFmtId="0" fontId="10" fillId="0" borderId="10" xfId="3" applyFont="1" applyBorder="1" applyAlignment="1" applyProtection="1">
      <alignment horizontal="right"/>
    </xf>
    <xf numFmtId="0" fontId="4" fillId="0" borderId="0" xfId="3" applyFont="1" applyBorder="1" applyProtection="1"/>
    <xf numFmtId="0" fontId="5" fillId="0" borderId="0" xfId="3" applyFont="1" applyAlignment="1" applyProtection="1">
      <alignment horizontal="left"/>
    </xf>
    <xf numFmtId="0" fontId="4" fillId="0" borderId="6" xfId="3" applyFont="1" applyBorder="1" applyProtection="1"/>
    <xf numFmtId="0" fontId="6" fillId="0" borderId="5" xfId="3" applyFont="1" applyBorder="1" applyAlignment="1" applyProtection="1"/>
    <xf numFmtId="0" fontId="5" fillId="0" borderId="5" xfId="3" applyFont="1" applyBorder="1" applyAlignment="1" applyProtection="1">
      <alignment horizontal="right"/>
    </xf>
    <xf numFmtId="0" fontId="6" fillId="0" borderId="5" xfId="3" applyFont="1" applyBorder="1" applyProtection="1"/>
    <xf numFmtId="0" fontId="6" fillId="0" borderId="10" xfId="3" applyFont="1" applyBorder="1" applyProtection="1"/>
    <xf numFmtId="0" fontId="23" fillId="0" borderId="0" xfId="3" applyFont="1" applyAlignment="1" applyProtection="1">
      <alignment wrapText="1"/>
    </xf>
    <xf numFmtId="172" fontId="12" fillId="3" borderId="0" xfId="2" applyNumberFormat="1" applyFont="1" applyAlignment="1" applyProtection="1"/>
    <xf numFmtId="172" fontId="12" fillId="3" borderId="2" xfId="2" applyNumberFormat="1" applyFont="1" applyBorder="1" applyAlignment="1" applyProtection="1"/>
    <xf numFmtId="167" fontId="16" fillId="0" borderId="2" xfId="5" applyFont="1" applyBorder="1" applyAlignment="1" applyProtection="1">
      <alignment horizontal="left"/>
    </xf>
    <xf numFmtId="169" fontId="20" fillId="0" borderId="2" xfId="5" applyNumberFormat="1" applyFont="1" applyBorder="1" applyAlignment="1" applyProtection="1">
      <alignment horizontal="right"/>
    </xf>
    <xf numFmtId="168" fontId="20" fillId="0" borderId="0" xfId="5" applyNumberFormat="1" applyFont="1" applyAlignment="1" applyProtection="1"/>
    <xf numFmtId="2" fontId="0" fillId="0" borderId="0" xfId="0" applyNumberFormat="1"/>
    <xf numFmtId="167" fontId="20" fillId="5" borderId="0" xfId="5" applyNumberFormat="1" applyFont="1" applyFill="1" applyAlignment="1" applyProtection="1"/>
    <xf numFmtId="170" fontId="4" fillId="5" borderId="0" xfId="5" applyNumberFormat="1" applyFont="1" applyFill="1" applyAlignment="1" applyProtection="1"/>
    <xf numFmtId="167" fontId="20" fillId="5" borderId="2" xfId="5" applyNumberFormat="1" applyFont="1" applyFill="1" applyBorder="1" applyAlignment="1" applyProtection="1"/>
    <xf numFmtId="170" fontId="4" fillId="5" borderId="2" xfId="5" applyNumberFormat="1" applyFont="1" applyFill="1" applyBorder="1" applyAlignment="1" applyProtection="1"/>
    <xf numFmtId="167" fontId="16" fillId="5" borderId="9" xfId="5" applyFont="1" applyFill="1" applyBorder="1" applyAlignment="1" applyProtection="1">
      <alignment horizontal="center"/>
    </xf>
    <xf numFmtId="167" fontId="20" fillId="5" borderId="0" xfId="5" applyFont="1" applyFill="1" applyAlignment="1" applyProtection="1"/>
    <xf numFmtId="167" fontId="20" fillId="5" borderId="2" xfId="5" applyFont="1" applyFill="1" applyBorder="1" applyAlignment="1" applyProtection="1"/>
    <xf numFmtId="167" fontId="20" fillId="0" borderId="2" xfId="5" applyFont="1" applyBorder="1" applyAlignment="1" applyProtection="1">
      <alignment horizontal="center"/>
    </xf>
    <xf numFmtId="170" fontId="4" fillId="0" borderId="0" xfId="5" applyNumberFormat="1" applyFont="1" applyBorder="1" applyAlignment="1" applyProtection="1"/>
    <xf numFmtId="167" fontId="20" fillId="0" borderId="0" xfId="5" quotePrefix="1" applyFont="1" applyAlignment="1" applyProtection="1">
      <alignment horizontal="center"/>
    </xf>
    <xf numFmtId="167" fontId="20" fillId="0" borderId="0" xfId="5" quotePrefix="1" applyFont="1" applyBorder="1" applyAlignment="1" applyProtection="1">
      <alignment horizontal="center"/>
    </xf>
    <xf numFmtId="167" fontId="4" fillId="0" borderId="9" xfId="5" applyFont="1" applyBorder="1" applyAlignment="1" applyProtection="1"/>
    <xf numFmtId="170" fontId="20" fillId="0" borderId="2" xfId="5" applyNumberFormat="1" applyFont="1" applyBorder="1" applyAlignment="1" applyProtection="1">
      <alignment horizontal="right"/>
    </xf>
    <xf numFmtId="167" fontId="20" fillId="0" borderId="0" xfId="5" applyFont="1" applyBorder="1" applyAlignment="1" applyProtection="1"/>
    <xf numFmtId="170" fontId="20" fillId="0" borderId="0" xfId="5" applyNumberFormat="1" applyFont="1" applyBorder="1" applyAlignment="1" applyProtection="1">
      <alignment horizontal="right"/>
    </xf>
    <xf numFmtId="169" fontId="20" fillId="0" borderId="0" xfId="5" applyNumberFormat="1" applyFont="1" applyBorder="1" applyAlignment="1" applyProtection="1"/>
    <xf numFmtId="167" fontId="4" fillId="0" borderId="0" xfId="5" applyFont="1" applyFill="1" applyBorder="1" applyAlignment="1" applyProtection="1"/>
    <xf numFmtId="167" fontId="4" fillId="6" borderId="14" xfId="5" applyFont="1" applyFill="1" applyBorder="1" applyAlignment="1" applyProtection="1"/>
    <xf numFmtId="167" fontId="4" fillId="6" borderId="15" xfId="5" applyFont="1" applyFill="1" applyBorder="1" applyAlignment="1" applyProtection="1"/>
    <xf numFmtId="173" fontId="11" fillId="2" borderId="0" xfId="7" applyNumberFormat="1" applyFont="1" applyFill="1" applyBorder="1" applyAlignment="1" applyProtection="1">
      <alignment horizontal="right"/>
      <protection locked="0"/>
    </xf>
    <xf numFmtId="174" fontId="11" fillId="2" borderId="0" xfId="7" applyNumberFormat="1" applyFont="1" applyFill="1" applyBorder="1" applyAlignment="1" applyProtection="1">
      <alignment horizontal="right"/>
      <protection locked="0"/>
    </xf>
    <xf numFmtId="174" fontId="11" fillId="2" borderId="2" xfId="7" applyNumberFormat="1" applyFont="1" applyFill="1" applyBorder="1" applyAlignment="1" applyProtection="1">
      <alignment horizontal="right"/>
      <protection locked="0"/>
    </xf>
    <xf numFmtId="174" fontId="11" fillId="0" borderId="0" xfId="7" applyNumberFormat="1" applyFont="1" applyFill="1" applyBorder="1" applyAlignment="1" applyProtection="1">
      <alignment horizontal="right"/>
      <protection locked="0"/>
    </xf>
    <xf numFmtId="165" fontId="16" fillId="5" borderId="0" xfId="6" applyFont="1" applyFill="1" applyBorder="1" applyAlignment="1" applyProtection="1">
      <alignment horizontal="center"/>
    </xf>
    <xf numFmtId="165" fontId="16" fillId="0" borderId="0" xfId="6" applyFont="1" applyFill="1" applyBorder="1" applyAlignment="1" applyProtection="1">
      <alignment horizontal="center"/>
    </xf>
    <xf numFmtId="173" fontId="11" fillId="0" borderId="0" xfId="7" applyNumberFormat="1" applyFont="1" applyFill="1" applyBorder="1" applyAlignment="1" applyProtection="1">
      <alignment horizontal="right"/>
      <protection locked="0"/>
    </xf>
    <xf numFmtId="170" fontId="4" fillId="0" borderId="0" xfId="5" applyNumberFormat="1" applyFont="1" applyFill="1" applyAlignment="1" applyProtection="1"/>
    <xf numFmtId="0" fontId="0" fillId="0" borderId="0" xfId="0" applyFill="1" applyBorder="1" applyAlignment="1"/>
    <xf numFmtId="170" fontId="4" fillId="0" borderId="0" xfId="5" applyNumberFormat="1" applyFont="1" applyFill="1" applyBorder="1" applyAlignment="1" applyProtection="1"/>
    <xf numFmtId="0" fontId="0" fillId="0" borderId="0" xfId="0" applyFill="1" applyBorder="1" applyAlignment="1">
      <alignment horizontal="center"/>
    </xf>
    <xf numFmtId="0" fontId="0" fillId="0" borderId="0" xfId="0" applyFill="1" applyBorder="1"/>
    <xf numFmtId="173" fontId="11" fillId="2" borderId="2" xfId="7" applyNumberFormat="1" applyFont="1" applyFill="1" applyBorder="1" applyAlignment="1" applyProtection="1">
      <alignment horizontal="right"/>
      <protection locked="0"/>
    </xf>
    <xf numFmtId="167" fontId="20" fillId="0" borderId="0" xfId="5" applyNumberFormat="1" applyFont="1" applyFill="1" applyAlignment="1" applyProtection="1"/>
    <xf numFmtId="170" fontId="4" fillId="5" borderId="0" xfId="5" applyNumberFormat="1" applyFont="1" applyFill="1" applyAlignment="1" applyProtection="1">
      <protection hidden="1"/>
    </xf>
    <xf numFmtId="170" fontId="4" fillId="5" borderId="2" xfId="5" applyNumberFormat="1" applyFont="1" applyFill="1" applyBorder="1" applyAlignment="1" applyProtection="1">
      <protection hidden="1"/>
    </xf>
    <xf numFmtId="167" fontId="20" fillId="0" borderId="0" xfId="5" applyNumberFormat="1" applyFont="1" applyFill="1" applyBorder="1" applyAlignment="1" applyProtection="1"/>
    <xf numFmtId="0" fontId="6" fillId="0" borderId="0" xfId="3" applyFont="1" applyAlignment="1" applyProtection="1">
      <alignment vertical="center"/>
    </xf>
    <xf numFmtId="169" fontId="4" fillId="0" borderId="2" xfId="5" applyNumberFormat="1" applyFont="1" applyBorder="1" applyAlignment="1" applyProtection="1"/>
    <xf numFmtId="14" fontId="9" fillId="7" borderId="0" xfId="5" applyNumberFormat="1" applyFont="1" applyFill="1" applyBorder="1" applyAlignment="1" applyProtection="1">
      <protection locked="0"/>
    </xf>
    <xf numFmtId="14" fontId="9" fillId="7" borderId="8" xfId="5" applyNumberFormat="1" applyFont="1" applyFill="1" applyBorder="1" applyAlignment="1" applyProtection="1">
      <alignment horizontal="center"/>
      <protection locked="0"/>
    </xf>
    <xf numFmtId="167" fontId="16" fillId="0" borderId="0" xfId="5" applyFont="1" applyBorder="1" applyAlignment="1" applyProtection="1">
      <alignment horizontal="left"/>
    </xf>
    <xf numFmtId="175" fontId="4" fillId="0" borderId="0" xfId="5" applyNumberFormat="1" applyFont="1" applyAlignment="1" applyProtection="1"/>
    <xf numFmtId="0" fontId="5" fillId="0" borderId="0" xfId="3" applyFont="1" applyBorder="1" applyAlignment="1" applyProtection="1">
      <alignment horizontal="center"/>
    </xf>
    <xf numFmtId="0" fontId="5" fillId="0" borderId="8" xfId="3" applyFont="1" applyBorder="1" applyAlignment="1" applyProtection="1">
      <alignment horizontal="center"/>
    </xf>
    <xf numFmtId="0" fontId="6" fillId="0" borderId="0" xfId="3" applyFont="1" applyBorder="1" applyAlignment="1" applyProtection="1">
      <alignment vertical="top" wrapText="1"/>
    </xf>
    <xf numFmtId="0" fontId="0" fillId="0" borderId="0" xfId="0" applyBorder="1" applyAlignment="1">
      <alignment wrapText="1"/>
    </xf>
    <xf numFmtId="0" fontId="6" fillId="0" borderId="10" xfId="3" applyFont="1" applyBorder="1" applyAlignment="1" applyProtection="1">
      <alignment horizontal="right"/>
    </xf>
    <xf numFmtId="0" fontId="0" fillId="0" borderId="0" xfId="0" applyAlignment="1"/>
    <xf numFmtId="176" fontId="31" fillId="3" borderId="22" xfId="2" applyNumberFormat="1" applyFont="1" applyBorder="1" applyAlignment="1" applyProtection="1"/>
    <xf numFmtId="176" fontId="9" fillId="2" borderId="19" xfId="1" applyNumberFormat="1" applyFont="1" applyBorder="1" applyAlignment="1" applyProtection="1">
      <alignment horizontal="right"/>
      <protection locked="0"/>
    </xf>
    <xf numFmtId="176" fontId="9" fillId="2" borderId="20" xfId="1" applyNumberFormat="1" applyFont="1" applyBorder="1" applyAlignment="1" applyProtection="1">
      <alignment horizontal="right"/>
      <protection locked="0"/>
    </xf>
    <xf numFmtId="176" fontId="9" fillId="2" borderId="18" xfId="1" applyNumberFormat="1" applyFont="1" applyBorder="1" applyAlignment="1" applyProtection="1">
      <alignment horizontal="right"/>
      <protection locked="0"/>
    </xf>
    <xf numFmtId="176" fontId="9" fillId="2" borderId="21" xfId="1" applyNumberFormat="1" applyFont="1" applyBorder="1" applyAlignment="1" applyProtection="1">
      <alignment horizontal="right"/>
      <protection locked="0"/>
    </xf>
    <xf numFmtId="176" fontId="9" fillId="2" borderId="0" xfId="1" applyNumberFormat="1" applyFont="1" applyBorder="1" applyAlignment="1" applyProtection="1">
      <alignment horizontal="right"/>
      <protection locked="0"/>
    </xf>
    <xf numFmtId="176" fontId="9" fillId="2" borderId="8" xfId="1" applyNumberFormat="1" applyFont="1" applyBorder="1" applyAlignment="1" applyProtection="1">
      <alignment horizontal="right"/>
      <protection locked="0"/>
    </xf>
    <xf numFmtId="176" fontId="31" fillId="3" borderId="9" xfId="2" applyNumberFormat="1" applyFont="1" applyBorder="1" applyAlignment="1" applyProtection="1"/>
    <xf numFmtId="176" fontId="31" fillId="3" borderId="23" xfId="2" applyNumberFormat="1" applyFont="1" applyBorder="1" applyAlignment="1" applyProtection="1"/>
    <xf numFmtId="176" fontId="31" fillId="3" borderId="24" xfId="2" applyNumberFormat="1" applyFont="1" applyBorder="1" applyAlignment="1" applyProtection="1"/>
    <xf numFmtId="176" fontId="31" fillId="3" borderId="25" xfId="2" applyNumberFormat="1" applyFont="1" applyBorder="1" applyAlignment="1" applyProtection="1"/>
    <xf numFmtId="176" fontId="31" fillId="3" borderId="26" xfId="2" applyNumberFormat="1" applyFont="1" applyBorder="1" applyAlignment="1" applyProtection="1"/>
    <xf numFmtId="170" fontId="9" fillId="2" borderId="0" xfId="1" applyNumberFormat="1" applyFont="1" applyBorder="1" applyAlignment="1" applyProtection="1">
      <alignment horizontal="right"/>
      <protection locked="0"/>
    </xf>
    <xf numFmtId="170" fontId="9" fillId="2" borderId="8" xfId="1" applyNumberFormat="1" applyFont="1" applyBorder="1" applyAlignment="1" applyProtection="1">
      <alignment horizontal="right"/>
      <protection locked="0"/>
    </xf>
    <xf numFmtId="170" fontId="9" fillId="2" borderId="13" xfId="1" applyNumberFormat="1" applyFont="1" applyBorder="1" applyAlignment="1" applyProtection="1">
      <alignment horizontal="right"/>
      <protection locked="0"/>
    </xf>
    <xf numFmtId="170" fontId="9" fillId="2" borderId="11" xfId="1" applyNumberFormat="1" applyFont="1" applyBorder="1" applyAlignment="1" applyProtection="1">
      <alignment horizontal="right"/>
      <protection locked="0"/>
    </xf>
    <xf numFmtId="167" fontId="16" fillId="0" borderId="0" xfId="5" applyFont="1" applyAlignment="1" applyProtection="1"/>
    <xf numFmtId="167" fontId="16" fillId="0" borderId="2" xfId="5" applyFont="1" applyBorder="1" applyAlignment="1" applyProtection="1">
      <alignment horizontal="left"/>
    </xf>
    <xf numFmtId="167" fontId="16" fillId="0" borderId="2" xfId="5" applyFont="1" applyBorder="1" applyAlignment="1" applyProtection="1">
      <alignment horizontal="left"/>
    </xf>
    <xf numFmtId="169" fontId="4" fillId="6" borderId="0" xfId="5" applyNumberFormat="1" applyFont="1" applyFill="1" applyAlignment="1" applyProtection="1">
      <alignment horizontal="right"/>
    </xf>
    <xf numFmtId="167" fontId="4" fillId="6" borderId="20" xfId="5" applyFont="1" applyFill="1" applyBorder="1" applyAlignment="1" applyProtection="1"/>
    <xf numFmtId="0" fontId="6" fillId="0" borderId="8" xfId="3" applyFont="1" applyBorder="1" applyAlignment="1" applyProtection="1">
      <alignment vertical="top" wrapText="1"/>
    </xf>
    <xf numFmtId="0" fontId="0" fillId="0" borderId="8" xfId="0" applyBorder="1"/>
    <xf numFmtId="166" fontId="9" fillId="2" borderId="0" xfId="1" applyNumberFormat="1" applyFont="1" applyBorder="1" applyAlignment="1" applyProtection="1">
      <alignment horizontal="right"/>
      <protection locked="0"/>
    </xf>
    <xf numFmtId="166" fontId="9" fillId="2" borderId="8" xfId="1" applyNumberFormat="1" applyFont="1" applyBorder="1" applyAlignment="1" applyProtection="1">
      <alignment horizontal="right"/>
      <protection locked="0"/>
    </xf>
    <xf numFmtId="0" fontId="5" fillId="4" borderId="16" xfId="3" applyFont="1" applyFill="1" applyBorder="1" applyAlignment="1" applyProtection="1">
      <alignment horizontal="center" wrapText="1"/>
    </xf>
    <xf numFmtId="0" fontId="5" fillId="4" borderId="17" xfId="3" applyFont="1" applyFill="1" applyBorder="1" applyAlignment="1" applyProtection="1">
      <alignment horizontal="center" wrapText="1"/>
    </xf>
    <xf numFmtId="0" fontId="6" fillId="0" borderId="0" xfId="3" applyFont="1" applyFill="1" applyAlignment="1" applyProtection="1">
      <alignment horizontal="left"/>
    </xf>
    <xf numFmtId="0" fontId="6" fillId="0" borderId="0" xfId="3" applyFont="1" applyAlignment="1" applyProtection="1">
      <alignment horizontal="left" vertical="top" wrapText="1"/>
    </xf>
    <xf numFmtId="164" fontId="8" fillId="2" borderId="12" xfId="1" applyNumberFormat="1" applyFont="1" applyBorder="1" applyAlignment="1" applyProtection="1">
      <alignment horizontal="center"/>
      <protection locked="0"/>
    </xf>
    <xf numFmtId="164" fontId="8" fillId="2" borderId="7" xfId="1" applyNumberFormat="1" applyFont="1" applyBorder="1" applyAlignment="1" applyProtection="1">
      <alignment horizontal="center"/>
      <protection locked="0"/>
    </xf>
    <xf numFmtId="14" fontId="9" fillId="2" borderId="13" xfId="1" applyNumberFormat="1" applyFont="1" applyBorder="1" applyAlignment="1" applyProtection="1">
      <alignment horizontal="center"/>
      <protection locked="0"/>
    </xf>
    <xf numFmtId="14" fontId="9" fillId="2" borderId="11" xfId="1" applyNumberFormat="1" applyFont="1" applyBorder="1" applyAlignment="1" applyProtection="1">
      <alignment horizontal="center"/>
      <protection locked="0"/>
    </xf>
    <xf numFmtId="0" fontId="9" fillId="5" borderId="0" xfId="1" applyFont="1" applyFill="1" applyBorder="1" applyAlignment="1" applyProtection="1">
      <alignment horizontal="center"/>
    </xf>
    <xf numFmtId="0" fontId="9" fillId="5" borderId="8" xfId="1" applyFont="1" applyFill="1" applyBorder="1" applyAlignment="1" applyProtection="1">
      <alignment horizontal="center"/>
    </xf>
    <xf numFmtId="0" fontId="5" fillId="0" borderId="12" xfId="3" applyFont="1" applyBorder="1" applyAlignment="1" applyProtection="1">
      <alignment horizontal="center"/>
    </xf>
    <xf numFmtId="0" fontId="5" fillId="0" borderId="7" xfId="3" applyFont="1" applyBorder="1" applyAlignment="1" applyProtection="1">
      <alignment horizontal="center"/>
    </xf>
    <xf numFmtId="0" fontId="5" fillId="0" borderId="0" xfId="3" applyFont="1" applyBorder="1" applyAlignment="1" applyProtection="1">
      <alignment horizontal="center"/>
    </xf>
    <xf numFmtId="0" fontId="5" fillId="0" borderId="8" xfId="3" applyFont="1" applyBorder="1" applyAlignment="1" applyProtection="1">
      <alignment horizontal="center"/>
    </xf>
    <xf numFmtId="166" fontId="9" fillId="2" borderId="12" xfId="1" applyNumberFormat="1" applyFont="1" applyBorder="1" applyAlignment="1" applyProtection="1">
      <alignment horizontal="right"/>
      <protection locked="0"/>
    </xf>
    <xf numFmtId="166" fontId="9" fillId="2" borderId="7" xfId="1" applyNumberFormat="1" applyFont="1" applyBorder="1" applyAlignment="1" applyProtection="1">
      <alignment horizontal="right"/>
      <protection locked="0"/>
    </xf>
    <xf numFmtId="165" fontId="26" fillId="0" borderId="5" xfId="4" applyNumberFormat="1" applyFont="1" applyFill="1" applyBorder="1" applyAlignment="1" applyProtection="1">
      <alignment horizontal="left"/>
      <protection locked="0"/>
    </xf>
    <xf numFmtId="0" fontId="10" fillId="0" borderId="0" xfId="0" applyFont="1" applyAlignment="1" applyProtection="1">
      <alignment horizontal="left"/>
      <protection locked="0"/>
    </xf>
    <xf numFmtId="0" fontId="0" fillId="0" borderId="8" xfId="0" applyBorder="1" applyAlignment="1">
      <alignment wrapText="1"/>
    </xf>
    <xf numFmtId="165" fontId="16" fillId="5" borderId="2" xfId="6" applyFont="1" applyFill="1" applyBorder="1" applyAlignment="1" applyProtection="1">
      <alignment horizontal="center"/>
    </xf>
    <xf numFmtId="167" fontId="20" fillId="6" borderId="0" xfId="5" applyFont="1" applyFill="1" applyAlignment="1" applyProtection="1">
      <alignment horizontal="center"/>
    </xf>
    <xf numFmtId="165" fontId="16" fillId="0" borderId="2" xfId="6" applyFont="1" applyBorder="1" applyAlignment="1" applyProtection="1">
      <alignment horizontal="center"/>
    </xf>
    <xf numFmtId="0" fontId="0" fillId="0" borderId="2" xfId="0" applyBorder="1" applyAlignment="1"/>
    <xf numFmtId="167" fontId="16" fillId="0" borderId="2" xfId="5" applyFont="1" applyBorder="1" applyAlignment="1" applyProtection="1">
      <alignment horizontal="center"/>
    </xf>
    <xf numFmtId="167" fontId="16" fillId="0" borderId="2" xfId="5" applyFont="1" applyBorder="1" applyAlignment="1" applyProtection="1">
      <alignment horizontal="left"/>
    </xf>
    <xf numFmtId="0" fontId="24" fillId="0" borderId="2" xfId="0" applyFont="1" applyBorder="1" applyAlignment="1">
      <alignment horizontal="left"/>
    </xf>
  </cellXfs>
  <cellStyles count="8">
    <cellStyle name="Comma" xfId="7" builtinId="3"/>
    <cellStyle name="Good" xfId="1" builtinId="26"/>
    <cellStyle name="Hyperlink" xfId="4" builtinId="8"/>
    <cellStyle name="Neutral" xfId="2" builtinId="28"/>
    <cellStyle name="Normal" xfId="0" builtinId="0" customBuiltin="1"/>
    <cellStyle name="Normal 2" xfId="5"/>
    <cellStyle name="Normal 3" xfId="6"/>
    <cellStyle name="Normal 3 2 2" xfId="3"/>
  </cellStyles>
  <dxfs count="6">
    <dxf>
      <font>
        <color theme="0"/>
      </font>
      <border>
        <left/>
        <right/>
        <top/>
        <bottom/>
        <vertical/>
        <horizontal/>
      </border>
    </dxf>
    <dxf>
      <font>
        <color theme="0"/>
      </font>
      <fill>
        <patternFill>
          <bgColor theme="0"/>
        </patternFill>
      </fill>
      <border>
        <vertical/>
        <horizontal/>
      </border>
    </dxf>
    <dxf>
      <font>
        <color theme="0"/>
      </font>
      <fill>
        <patternFill>
          <bgColor theme="0"/>
        </patternFill>
      </fill>
    </dxf>
    <dxf>
      <font>
        <color theme="0"/>
      </font>
      <fill>
        <patternFill>
          <bgColor theme="0"/>
        </patternFill>
      </fill>
      <border>
        <vertical/>
        <horizontal/>
      </border>
    </dxf>
    <dxf>
      <font>
        <color theme="0"/>
      </font>
      <fill>
        <patternFill patternType="solid">
          <fgColor theme="0"/>
          <bgColor theme="0"/>
        </patternFill>
      </fill>
    </dxf>
    <dxf>
      <font>
        <color theme="0"/>
      </font>
      <fill>
        <patternFill>
          <fgColor theme="0"/>
          <bgColor theme="0"/>
        </patternFill>
      </fill>
    </dxf>
  </dxfs>
  <tableStyles count="0" defaultTableStyle="TableStyleMedium2" defaultPivotStyle="PivotStyleLight16"/>
  <colors>
    <mruColors>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Modèles!$B$28</c:f>
          <c:strCache>
            <c:ptCount val="1"/>
            <c:pt idx="0">
              <c:v>Cambodge 2008</c:v>
            </c:pt>
          </c:strCache>
        </c:strRef>
      </c:tx>
      <c:layout/>
      <c:overlay val="0"/>
    </c:title>
    <c:autoTitleDeleted val="0"/>
    <c:plotArea>
      <c:layout/>
      <c:scatterChart>
        <c:scatterStyle val="lineMarker"/>
        <c:varyColors val="0"/>
        <c:ser>
          <c:idx val="0"/>
          <c:order val="0"/>
          <c:marker>
            <c:symbol val="none"/>
          </c:marker>
          <c:xVal>
            <c:numRef>
              <c:f>Méthode!$L$24:$Z$24</c:f>
              <c:numCache>
                <c:formatCode>0.00_)</c:formatCode>
                <c:ptCount val="15"/>
                <c:pt idx="0">
                  <c:v>2007.6693989071039</c:v>
                </c:pt>
                <c:pt idx="1">
                  <c:v>2006.6693989071039</c:v>
                </c:pt>
                <c:pt idx="2">
                  <c:v>2005.6693989071039</c:v>
                </c:pt>
                <c:pt idx="3">
                  <c:v>2004.6693989071039</c:v>
                </c:pt>
                <c:pt idx="4">
                  <c:v>2003.6693989071039</c:v>
                </c:pt>
                <c:pt idx="5">
                  <c:v>2002.6693989071039</c:v>
                </c:pt>
                <c:pt idx="6">
                  <c:v>2001.6693989071039</c:v>
                </c:pt>
                <c:pt idx="7">
                  <c:v>2000.6693989071039</c:v>
                </c:pt>
                <c:pt idx="8">
                  <c:v>1999.6693989071039</c:v>
                </c:pt>
                <c:pt idx="9">
                  <c:v>1998.6693989071039</c:v>
                </c:pt>
                <c:pt idx="10">
                  <c:v>1997.6693989071039</c:v>
                </c:pt>
                <c:pt idx="11">
                  <c:v>1996.6693989071039</c:v>
                </c:pt>
                <c:pt idx="12">
                  <c:v>1995.6693989071039</c:v>
                </c:pt>
                <c:pt idx="13">
                  <c:v>1994.6693989071039</c:v>
                </c:pt>
                <c:pt idx="14">
                  <c:v>1993.6693989071039</c:v>
                </c:pt>
              </c:numCache>
            </c:numRef>
          </c:xVal>
          <c:yVal>
            <c:numRef>
              <c:f>Méthode!$L$45:$Z$45</c:f>
              <c:numCache>
                <c:formatCode>0.00_)</c:formatCode>
                <c:ptCount val="15"/>
                <c:pt idx="0">
                  <c:v>2.7551790364673892</c:v>
                </c:pt>
                <c:pt idx="1">
                  <c:v>2.6877480748809024</c:v>
                </c:pt>
                <c:pt idx="2">
                  <c:v>2.8471822020948787</c:v>
                </c:pt>
                <c:pt idx="3">
                  <c:v>3.1504248162204305</c:v>
                </c:pt>
                <c:pt idx="4">
                  <c:v>3.1797965227759977</c:v>
                </c:pt>
                <c:pt idx="5">
                  <c:v>3.4598093913812447</c:v>
                </c:pt>
                <c:pt idx="6">
                  <c:v>3.5616330956371458</c:v>
                </c:pt>
                <c:pt idx="7">
                  <c:v>3.7836949846423282</c:v>
                </c:pt>
                <c:pt idx="8">
                  <c:v>4.0886971067815736</c:v>
                </c:pt>
                <c:pt idx="9">
                  <c:v>3.5762286057177635</c:v>
                </c:pt>
                <c:pt idx="10">
                  <c:v>4.4826340493290981</c:v>
                </c:pt>
                <c:pt idx="11">
                  <c:v>3.8910742709865542</c:v>
                </c:pt>
                <c:pt idx="12">
                  <c:v>4.9778245810782122</c:v>
                </c:pt>
                <c:pt idx="13">
                  <c:v>5.0739594790706324</c:v>
                </c:pt>
                <c:pt idx="14">
                  <c:v>5.0974943749004415</c:v>
                </c:pt>
              </c:numCache>
            </c:numRef>
          </c:yVal>
          <c:smooth val="0"/>
        </c:ser>
        <c:dLbls>
          <c:showLegendKey val="0"/>
          <c:showVal val="0"/>
          <c:showCatName val="0"/>
          <c:showSerName val="0"/>
          <c:showPercent val="0"/>
          <c:showBubbleSize val="0"/>
        </c:dLbls>
        <c:axId val="1070044016"/>
        <c:axId val="1070044576"/>
      </c:scatterChart>
      <c:valAx>
        <c:axId val="1070044016"/>
        <c:scaling>
          <c:orientation val="minMax"/>
        </c:scaling>
        <c:delete val="0"/>
        <c:axPos val="b"/>
        <c:title>
          <c:tx>
            <c:rich>
              <a:bodyPr/>
              <a:lstStyle/>
              <a:p>
                <a:pPr>
                  <a:defRPr/>
                </a:pPr>
                <a:r>
                  <a:rPr lang="en-US"/>
                  <a:t>Année</a:t>
                </a:r>
              </a:p>
            </c:rich>
          </c:tx>
          <c:layout/>
          <c:overlay val="0"/>
        </c:title>
        <c:numFmt formatCode="General" sourceLinked="0"/>
        <c:majorTickMark val="out"/>
        <c:minorTickMark val="out"/>
        <c:tickLblPos val="nextTo"/>
        <c:crossAx val="1070044576"/>
        <c:crosses val="autoZero"/>
        <c:crossBetween val="midCat"/>
        <c:majorUnit val="5"/>
      </c:valAx>
      <c:valAx>
        <c:axId val="1070044576"/>
        <c:scaling>
          <c:orientation val="minMax"/>
        </c:scaling>
        <c:delete val="0"/>
        <c:axPos val="l"/>
        <c:majorGridlines>
          <c:spPr>
            <a:ln>
              <a:solidFill>
                <a:schemeClr val="accent5">
                  <a:lumMod val="40000"/>
                  <a:lumOff val="60000"/>
                </a:schemeClr>
              </a:solidFill>
            </a:ln>
          </c:spPr>
        </c:majorGridlines>
        <c:title>
          <c:tx>
            <c:rich>
              <a:bodyPr rot="-5400000" vert="horz"/>
              <a:lstStyle/>
              <a:p>
                <a:pPr>
                  <a:defRPr/>
                </a:pPr>
                <a:r>
                  <a:rPr lang="en-US"/>
                  <a:t>Indice synthétique de fécondité</a:t>
                </a:r>
              </a:p>
            </c:rich>
          </c:tx>
          <c:layout/>
          <c:overlay val="0"/>
        </c:title>
        <c:numFmt formatCode="General" sourceLinked="0"/>
        <c:majorTickMark val="out"/>
        <c:minorTickMark val="none"/>
        <c:tickLblPos val="nextTo"/>
        <c:crossAx val="1070044016"/>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608400</xdr:colOff>
      <xdr:row>32</xdr:row>
      <xdr:rowOff>62400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DMINI~1/LOCALS~1/Temp/FE_rever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s"/>
      <sheetName val="Method"/>
      <sheetName val="Charts"/>
    </sheetNames>
    <sheetDataSet>
      <sheetData sheetId="0" refreshError="1"/>
      <sheetData sheetId="1">
        <row r="39">
          <cell r="D39">
            <v>1</v>
          </cell>
        </row>
        <row r="43">
          <cell r="D43">
            <v>2</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reverse-survival-metho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4"/>
  <sheetViews>
    <sheetView showGridLines="0" tabSelected="1" zoomScaleNormal="100" workbookViewId="0">
      <selection activeCell="E41" sqref="E41"/>
    </sheetView>
  </sheetViews>
  <sheetFormatPr defaultColWidth="8.88671875" defaultRowHeight="15" x14ac:dyDescent="0.2"/>
  <cols>
    <col min="1" max="1" width="3.21875" style="58" customWidth="1"/>
    <col min="2" max="2" width="85.6640625" style="55" customWidth="1"/>
    <col min="3" max="3" width="25.6640625" style="58" customWidth="1"/>
    <col min="4" max="4" width="12" style="58" customWidth="1"/>
    <col min="5" max="5" width="12" style="59" customWidth="1"/>
    <col min="6" max="6" width="12" style="58" customWidth="1"/>
    <col min="7" max="7" width="8.88671875" style="60"/>
    <col min="8" max="8" width="11.44140625" style="60" customWidth="1"/>
    <col min="9" max="9" width="11.33203125" style="60" customWidth="1"/>
    <col min="10" max="16384" width="8.88671875" style="60"/>
  </cols>
  <sheetData>
    <row r="1" spans="1:6" s="57" customFormat="1" ht="29.25" customHeight="1" x14ac:dyDescent="0.25">
      <c r="A1" s="155" t="s">
        <v>31</v>
      </c>
      <c r="B1" s="156"/>
      <c r="C1" s="55"/>
      <c r="D1" s="55"/>
      <c r="E1" s="56"/>
      <c r="F1" s="55"/>
    </row>
    <row r="3" spans="1:6" x14ac:dyDescent="0.2">
      <c r="A3" s="157" t="s">
        <v>30</v>
      </c>
      <c r="B3" s="157"/>
    </row>
    <row r="4" spans="1:6" x14ac:dyDescent="0.2">
      <c r="A4" s="171" t="s">
        <v>29</v>
      </c>
      <c r="B4" s="172"/>
      <c r="C4" s="172"/>
    </row>
    <row r="6" spans="1:6" ht="90" customHeight="1" x14ac:dyDescent="0.2">
      <c r="A6" s="158" t="s">
        <v>75</v>
      </c>
      <c r="B6" s="158"/>
      <c r="F6" s="61"/>
    </row>
    <row r="8" spans="1:6" ht="15" customHeight="1" thickBot="1" x14ac:dyDescent="0.3">
      <c r="A8" s="62" t="s">
        <v>32</v>
      </c>
    </row>
    <row r="9" spans="1:6" ht="15.75" x14ac:dyDescent="0.25">
      <c r="A9" s="118">
        <v>1</v>
      </c>
      <c r="B9" s="64" t="s">
        <v>76</v>
      </c>
      <c r="C9" s="65" t="s">
        <v>33</v>
      </c>
      <c r="D9" s="159" t="s">
        <v>95</v>
      </c>
      <c r="E9" s="159"/>
      <c r="F9" s="160"/>
    </row>
    <row r="10" spans="1:6" ht="15" customHeight="1" x14ac:dyDescent="0.2">
      <c r="A10" s="63"/>
      <c r="C10" s="66"/>
      <c r="D10" s="163"/>
      <c r="E10" s="163"/>
      <c r="F10" s="164"/>
    </row>
    <row r="11" spans="1:6" ht="15" customHeight="1" thickBot="1" x14ac:dyDescent="0.25">
      <c r="A11" s="55">
        <v>2</v>
      </c>
      <c r="B11" s="55" t="s">
        <v>77</v>
      </c>
      <c r="C11" s="67" t="s">
        <v>34</v>
      </c>
      <c r="D11" s="161">
        <v>39510</v>
      </c>
      <c r="E11" s="161"/>
      <c r="F11" s="162"/>
    </row>
    <row r="12" spans="1:6" x14ac:dyDescent="0.2">
      <c r="A12" s="63"/>
      <c r="E12" s="58"/>
    </row>
    <row r="13" spans="1:6" x14ac:dyDescent="0.2">
      <c r="A13" s="63"/>
      <c r="E13" s="58"/>
    </row>
    <row r="14" spans="1:6" s="68" customFormat="1" ht="17.25" thickBot="1" x14ac:dyDescent="0.35">
      <c r="B14" s="13"/>
      <c r="C14" s="69" t="s">
        <v>38</v>
      </c>
      <c r="D14" s="13"/>
      <c r="E14" s="13"/>
      <c r="F14" s="13"/>
    </row>
    <row r="15" spans="1:6" ht="15.75" x14ac:dyDescent="0.25">
      <c r="A15" s="58">
        <v>3</v>
      </c>
      <c r="B15" s="55" t="s">
        <v>78</v>
      </c>
      <c r="C15" s="70"/>
      <c r="D15" s="165" t="s">
        <v>39</v>
      </c>
      <c r="E15" s="165"/>
      <c r="F15" s="166"/>
    </row>
    <row r="16" spans="1:6" x14ac:dyDescent="0.2">
      <c r="A16" s="9"/>
      <c r="C16" s="66"/>
      <c r="D16" s="153" t="s">
        <v>55</v>
      </c>
      <c r="E16" s="153"/>
      <c r="F16" s="154"/>
    </row>
    <row r="17" spans="1:6" ht="15" customHeight="1" x14ac:dyDescent="0.2">
      <c r="A17" s="9"/>
      <c r="B17" s="60"/>
      <c r="C17" s="38" t="s">
        <v>48</v>
      </c>
      <c r="D17" s="153" t="s">
        <v>88</v>
      </c>
      <c r="E17" s="153"/>
      <c r="F17" s="154"/>
    </row>
    <row r="18" spans="1:6" ht="15.75" customHeight="1" x14ac:dyDescent="0.2">
      <c r="B18" s="151" t="s">
        <v>35</v>
      </c>
      <c r="C18" s="32"/>
      <c r="D18" s="33"/>
      <c r="E18" s="33"/>
      <c r="F18" s="34"/>
    </row>
    <row r="19" spans="1:6" s="58" customFormat="1" ht="15.75" customHeight="1" x14ac:dyDescent="0.25">
      <c r="B19" s="151"/>
      <c r="C19" s="71"/>
      <c r="D19" s="167" t="s">
        <v>40</v>
      </c>
      <c r="E19" s="167"/>
      <c r="F19" s="168"/>
    </row>
    <row r="20" spans="1:6" s="58" customFormat="1" ht="15.75" customHeight="1" x14ac:dyDescent="0.25">
      <c r="B20" s="151"/>
      <c r="C20" s="66"/>
      <c r="D20" s="124" t="s">
        <v>9</v>
      </c>
      <c r="E20" s="124" t="s">
        <v>10</v>
      </c>
      <c r="F20" s="125" t="s">
        <v>11</v>
      </c>
    </row>
    <row r="21" spans="1:6" s="58" customFormat="1" ht="15.75" customHeight="1" x14ac:dyDescent="0.2">
      <c r="B21" s="151"/>
      <c r="C21" s="66" t="s">
        <v>41</v>
      </c>
      <c r="D21" s="131">
        <v>0</v>
      </c>
      <c r="E21" s="132">
        <v>0.2165</v>
      </c>
      <c r="F21" s="133">
        <v>0.3533</v>
      </c>
    </row>
    <row r="22" spans="1:6" s="58" customFormat="1" ht="15.75" customHeight="1" x14ac:dyDescent="0.2">
      <c r="B22" s="151"/>
      <c r="C22" s="66" t="s">
        <v>42</v>
      </c>
      <c r="D22" s="134">
        <v>1</v>
      </c>
      <c r="E22" s="135">
        <v>1.0979000000000001</v>
      </c>
      <c r="F22" s="136">
        <v>1.1722999999999999</v>
      </c>
    </row>
    <row r="23" spans="1:6" s="58" customFormat="1" ht="15.75" customHeight="1" x14ac:dyDescent="0.25">
      <c r="B23" s="126"/>
      <c r="C23" s="66" t="str">
        <f>IF(Type_source1=2,"5q0 dérivée","")</f>
        <v>5q0 dérivée</v>
      </c>
      <c r="D23" s="130">
        <f>1-1/(1+EXP(2*(D21+D22*Modèles!$I$8)))</f>
        <v>8.7499999999999911E-2</v>
      </c>
      <c r="E23" s="137">
        <f>1-1/(1+EXP(2*(E21+E22*Modèles!$I$8)))</f>
        <v>0.1051676472705706</v>
      </c>
      <c r="F23" s="138">
        <f>1-1/(1+EXP(2*(F21+F22*Modèles!$I$8)))</f>
        <v>0.11487186448625997</v>
      </c>
    </row>
    <row r="24" spans="1:6" s="58" customFormat="1" ht="21" customHeight="1" x14ac:dyDescent="0.25">
      <c r="B24" s="151" t="s">
        <v>36</v>
      </c>
      <c r="C24" s="72"/>
      <c r="D24" s="35"/>
      <c r="E24" s="35"/>
      <c r="F24" s="36"/>
    </row>
    <row r="25" spans="1:6" s="58" customFormat="1" ht="15" customHeight="1" x14ac:dyDescent="0.2">
      <c r="B25" s="173"/>
      <c r="C25" s="66" t="s">
        <v>43</v>
      </c>
      <c r="D25" s="131">
        <v>0</v>
      </c>
      <c r="E25" s="132">
        <v>8.1500000000000003E-2</v>
      </c>
      <c r="F25" s="133">
        <v>-3.0999999999999999E-3</v>
      </c>
    </row>
    <row r="26" spans="1:6" s="58" customFormat="1" ht="15" customHeight="1" x14ac:dyDescent="0.2">
      <c r="B26" s="173"/>
      <c r="C26" s="66" t="s">
        <v>44</v>
      </c>
      <c r="D26" s="134">
        <v>1</v>
      </c>
      <c r="E26" s="135">
        <v>0.96899999999999997</v>
      </c>
      <c r="F26" s="136">
        <v>0.86729999999999996</v>
      </c>
    </row>
    <row r="27" spans="1:6" s="58" customFormat="1" ht="15" customHeight="1" thickBot="1" x14ac:dyDescent="0.3">
      <c r="A27" s="63"/>
      <c r="B27" s="173"/>
      <c r="C27" s="128" t="str">
        <f>IF(Type_source1=2,"45q15 dérivée","")</f>
        <v>45q15 dérivée</v>
      </c>
      <c r="D27" s="139">
        <f>1-(1+EXP(2*(D25+D26*Modèles!$I$16)))/(1+EXP(2*(D25+D26*Modèles!$I$25)))</f>
        <v>0.18962731758784035</v>
      </c>
      <c r="E27" s="140">
        <f>1-(1+EXP(2*(E25+E26*Modèles!$I$16)))/(1+EXP(2*(E25+E26*Modèles!$I$25)))</f>
        <v>0.21472093916745461</v>
      </c>
      <c r="F27" s="141">
        <f>1-(1+EXP(2*(F25+F26*Modèles!$I$16)))/(1+EXP(2*(F25+F26*Modèles!$I$25)))</f>
        <v>0.19360795689901156</v>
      </c>
    </row>
    <row r="28" spans="1:6" s="58" customFormat="1" x14ac:dyDescent="0.2">
      <c r="A28" s="63"/>
      <c r="B28" s="127"/>
      <c r="C28" s="9"/>
      <c r="D28" s="9"/>
      <c r="E28" s="9"/>
      <c r="F28" s="9"/>
    </row>
    <row r="29" spans="1:6" s="58" customFormat="1" ht="16.5" thickBot="1" x14ac:dyDescent="0.3">
      <c r="B29" s="129"/>
      <c r="C29" s="69" t="s">
        <v>45</v>
      </c>
      <c r="D29" s="69"/>
      <c r="E29" s="9"/>
      <c r="F29" s="9"/>
    </row>
    <row r="30" spans="1:6" s="58" customFormat="1" x14ac:dyDescent="0.2">
      <c r="A30" s="58">
        <v>4</v>
      </c>
      <c r="B30" s="151" t="s">
        <v>79</v>
      </c>
      <c r="C30" s="37" t="s">
        <v>46</v>
      </c>
      <c r="D30" s="169" t="s">
        <v>91</v>
      </c>
      <c r="E30" s="169"/>
      <c r="F30" s="170"/>
    </row>
    <row r="31" spans="1:6" s="58" customFormat="1" ht="15" customHeight="1" x14ac:dyDescent="0.2">
      <c r="B31" s="152"/>
      <c r="C31" s="38" t="s">
        <v>47</v>
      </c>
      <c r="D31" s="153" t="s">
        <v>86</v>
      </c>
      <c r="E31" s="153"/>
      <c r="F31" s="154"/>
    </row>
    <row r="32" spans="1:6" s="58" customFormat="1" ht="15" customHeight="1" x14ac:dyDescent="0.2">
      <c r="B32" s="152"/>
      <c r="C32" s="32"/>
      <c r="D32" s="33"/>
      <c r="E32" s="33"/>
      <c r="F32" s="34"/>
    </row>
    <row r="33" spans="1:6" x14ac:dyDescent="0.2">
      <c r="B33" s="152"/>
      <c r="C33" s="32"/>
      <c r="D33" s="35" t="s">
        <v>26</v>
      </c>
      <c r="E33" s="120">
        <v>39264</v>
      </c>
      <c r="F33" s="121">
        <v>35612</v>
      </c>
    </row>
    <row r="34" spans="1:6" x14ac:dyDescent="0.2">
      <c r="B34" s="152"/>
      <c r="C34" s="38"/>
      <c r="D34" s="35" t="str">
        <f>IF(Modèles!$D$42=1,"10-14","Alpha")</f>
        <v>10-14</v>
      </c>
      <c r="E34" s="142">
        <v>0</v>
      </c>
      <c r="F34" s="143">
        <v>0</v>
      </c>
    </row>
    <row r="35" spans="1:6" x14ac:dyDescent="0.2">
      <c r="B35" s="152"/>
      <c r="C35" s="38"/>
      <c r="D35" s="35" t="str">
        <f>IF(Modèles!$D$42=1,"15-19","Beta")</f>
        <v>15-19</v>
      </c>
      <c r="E35" s="142">
        <v>5.3338000000000003E-2</v>
      </c>
      <c r="F35" s="143">
        <v>4.1770000000000002E-2</v>
      </c>
    </row>
    <row r="36" spans="1:6" x14ac:dyDescent="0.2">
      <c r="B36" s="152"/>
      <c r="C36" s="73"/>
      <c r="D36" s="35" t="str">
        <f>IF(Modèles!$D$42=1,"20-24","")</f>
        <v>20-24</v>
      </c>
      <c r="E36" s="142">
        <v>0.197406</v>
      </c>
      <c r="F36" s="143">
        <v>0.15353899999999998</v>
      </c>
    </row>
    <row r="37" spans="1:6" x14ac:dyDescent="0.2">
      <c r="B37" s="152"/>
      <c r="C37" s="73"/>
      <c r="D37" s="35" t="str">
        <f>IF(Modèles!$D$42=1,"25-29","")</f>
        <v>25-29</v>
      </c>
      <c r="E37" s="142">
        <v>0.21435499999999999</v>
      </c>
      <c r="F37" s="143">
        <v>0.14823500000000001</v>
      </c>
    </row>
    <row r="38" spans="1:6" x14ac:dyDescent="0.2">
      <c r="B38" s="152"/>
      <c r="C38" s="73"/>
      <c r="D38" s="35" t="str">
        <f>IF(Modèles!$D$42=1,"30-34","")</f>
        <v>30-34</v>
      </c>
      <c r="E38" s="142">
        <v>0.183582</v>
      </c>
      <c r="F38" s="143">
        <v>0.111842</v>
      </c>
    </row>
    <row r="39" spans="1:6" x14ac:dyDescent="0.2">
      <c r="C39" s="73"/>
      <c r="D39" s="35" t="str">
        <f>IF(Modèles!$D$42=1,"35-39","")</f>
        <v>35-39</v>
      </c>
      <c r="E39" s="142">
        <v>0.13322900000000001</v>
      </c>
      <c r="F39" s="143">
        <v>7.0805000000000007E-2</v>
      </c>
    </row>
    <row r="40" spans="1:6" x14ac:dyDescent="0.2">
      <c r="C40" s="73"/>
      <c r="D40" s="35" t="str">
        <f>IF(Modèles!$D$42=1,"40-44","")</f>
        <v>40-44</v>
      </c>
      <c r="E40" s="142">
        <v>6.7611000000000004E-2</v>
      </c>
      <c r="F40" s="143">
        <v>3.0114999999999999E-2</v>
      </c>
    </row>
    <row r="41" spans="1:6" ht="15.75" thickBot="1" x14ac:dyDescent="0.25">
      <c r="C41" s="74"/>
      <c r="D41" s="39" t="str">
        <f>IF(Modèles!$D$42=1,"45-49","")</f>
        <v>45-49</v>
      </c>
      <c r="E41" s="144">
        <v>1.3419E-2</v>
      </c>
      <c r="F41" s="145">
        <v>3.2339999999999999E-3</v>
      </c>
    </row>
    <row r="43" spans="1:6" ht="30.75" customHeight="1" x14ac:dyDescent="0.25">
      <c r="A43" s="63">
        <v>5</v>
      </c>
      <c r="B43" s="55" t="s">
        <v>80</v>
      </c>
    </row>
    <row r="44" spans="1:6" x14ac:dyDescent="0.2">
      <c r="A44" s="63"/>
      <c r="B44" s="75"/>
    </row>
    <row r="45" spans="1:6" ht="30.75" x14ac:dyDescent="0.25">
      <c r="A45" s="63">
        <v>6</v>
      </c>
      <c r="B45" s="55" t="s">
        <v>81</v>
      </c>
    </row>
    <row r="46" spans="1:6" x14ac:dyDescent="0.2">
      <c r="A46" s="63"/>
      <c r="B46" s="75"/>
    </row>
    <row r="47" spans="1:6" ht="15.75" x14ac:dyDescent="0.25">
      <c r="A47" s="62" t="s">
        <v>37</v>
      </c>
    </row>
    <row r="48" spans="1:6" ht="15.75" x14ac:dyDescent="0.2">
      <c r="B48" s="64" t="s">
        <v>82</v>
      </c>
    </row>
    <row r="49" spans="3:6" x14ac:dyDescent="0.2">
      <c r="C49" s="60"/>
      <c r="D49" s="60"/>
      <c r="E49" s="60"/>
      <c r="F49" s="60"/>
    </row>
    <row r="50" spans="3:6" x14ac:dyDescent="0.2">
      <c r="C50" s="60"/>
      <c r="D50" s="60"/>
      <c r="E50" s="60"/>
      <c r="F50" s="60"/>
    </row>
    <row r="51" spans="3:6" x14ac:dyDescent="0.2">
      <c r="C51" s="60"/>
      <c r="D51" s="60"/>
      <c r="E51" s="60"/>
      <c r="F51" s="60"/>
    </row>
    <row r="52" spans="3:6" x14ac:dyDescent="0.2">
      <c r="C52" s="60"/>
      <c r="D52" s="60"/>
      <c r="E52" s="60"/>
      <c r="F52" s="60"/>
    </row>
    <row r="53" spans="3:6" x14ac:dyDescent="0.2">
      <c r="C53" s="60"/>
      <c r="D53" s="60"/>
      <c r="E53" s="60"/>
      <c r="F53" s="60"/>
    </row>
    <row r="54" spans="3:6" x14ac:dyDescent="0.2">
      <c r="C54" s="60"/>
      <c r="D54" s="60"/>
      <c r="E54" s="60"/>
      <c r="F54" s="60"/>
    </row>
  </sheetData>
  <sheetProtection sheet="1" objects="1" scenarios="1" selectLockedCells="1"/>
  <mergeCells count="16">
    <mergeCell ref="B18:B22"/>
    <mergeCell ref="B30:B38"/>
    <mergeCell ref="D17:F17"/>
    <mergeCell ref="D31:F31"/>
    <mergeCell ref="A1:B1"/>
    <mergeCell ref="A3:B3"/>
    <mergeCell ref="A6:B6"/>
    <mergeCell ref="D9:F9"/>
    <mergeCell ref="D11:F11"/>
    <mergeCell ref="D10:F10"/>
    <mergeCell ref="D15:F15"/>
    <mergeCell ref="D19:F19"/>
    <mergeCell ref="D16:F16"/>
    <mergeCell ref="D30:F30"/>
    <mergeCell ref="A4:C4"/>
    <mergeCell ref="B24:B27"/>
  </mergeCells>
  <conditionalFormatting sqref="E36:F41">
    <cfRule type="expression" dxfId="5" priority="7">
      <formula>Type_Source2=2</formula>
    </cfRule>
  </conditionalFormatting>
  <conditionalFormatting sqref="F33:F41">
    <cfRule type="expression" dxfId="4" priority="5">
      <formula>N_Series=1</formula>
    </cfRule>
  </conditionalFormatting>
  <conditionalFormatting sqref="D23:F23">
    <cfRule type="expression" dxfId="3" priority="3">
      <formula>Type_source1=1</formula>
    </cfRule>
  </conditionalFormatting>
  <conditionalFormatting sqref="D27:F27">
    <cfRule type="expression" dxfId="2" priority="2">
      <formula>Type_source1=1</formula>
    </cfRule>
  </conditionalFormatting>
  <conditionalFormatting sqref="D27:F27">
    <cfRule type="expression" dxfId="1" priority="1">
      <formula>Type_source1=1</formula>
    </cfRule>
  </conditionalFormatting>
  <dataValidations xWindow="1001" yWindow="442" count="16">
    <dataValidation type="date" allowBlank="1" showInputMessage="1" showErrorMessage="1" error="Enter date of earlier series of rates _x000a_in format DD/MM/YYYY  here" promptTitle="Date input" prompt="Please input the date using the default date format on your computer." sqref="F33">
      <formula1>1</formula1>
      <formula2>E33</formula2>
    </dataValidation>
    <dataValidation type="decimal" allowBlank="1" showInputMessage="1" showErrorMessage="1" error="beta should lie in the range 0.6 to 1.4." sqref="D26:F26 D22:F22">
      <formula1>0.6</formula1>
      <formula2>1.4</formula2>
    </dataValidation>
    <dataValidation type="decimal" allowBlank="1" showInputMessage="1" showErrorMessage="1" error="Enter appropriate numeric value" sqref="F34">
      <formula1>-0.3</formula1>
      <formula2>1</formula2>
    </dataValidation>
    <dataValidation type="date" showInputMessage="1" showErrorMessage="1" error="Enter date of later or only series of fertility rates in format DD/MM/YYYY here_x000a_" promptTitle="Date input" prompt="Please input the date using the default date format on your computer." sqref="E33">
      <formula1>1</formula1>
      <formula2>54788</formula2>
    </dataValidation>
    <dataValidation type="decimal" allowBlank="1" showInputMessage="1" showErrorMessage="1" error="Enter fertility rates per woman in the range 0 to1." sqref="E36:F41">
      <formula1>0</formula1>
      <formula2>1</formula2>
    </dataValidation>
    <dataValidation type="decimal" allowBlank="1" showInputMessage="1" showErrorMessage="1" error="Enter appropriate numeric value" sqref="F35">
      <formula1>0</formula1>
      <formula2>1.25</formula2>
    </dataValidation>
    <dataValidation type="decimal" showInputMessage="1" showErrorMessage="1" error="Enter appropriate numeric value" sqref="E34">
      <formula1>-0.3</formula1>
      <formula2>1</formula2>
    </dataValidation>
    <dataValidation type="decimal" showInputMessage="1" showErrorMessage="1" error="Enter appropriate numeric value" sqref="E35">
      <formula1>0</formula1>
      <formula2>1.25</formula2>
    </dataValidation>
    <dataValidation type="list" showInputMessage="1" showErrorMessage="1" promptTitle="Number of series" prompt="Choose whether the fertility schedule is to be based on a single fertility schedule (assuming constant shape), or interpolated between two schedules for different points in time." sqref="D30:F30">
      <formula1>Series</formula1>
    </dataValidation>
    <dataValidation type="list" showInputMessage="1" showErrorMessage="1" promptTitle="Source of data" prompt="You may define the fertility schedule(s) either by setting values of alpha (range -0.5 to 0.5) and beta (range 0.65 to 1.5) that define a relational Gompertz model, or by pasting in age-specific fertility rates (range 0 to 1) for each age group." sqref="D31:F31">
      <formula1>Source2</formula1>
    </dataValidation>
    <dataValidation type="decimal" allowBlank="1" showInputMessage="1" showErrorMessage="1" error="Enter a postive number &lt;1000." sqref="D25:F25">
      <formula1>-1.5</formula1>
      <formula2>1</formula2>
    </dataValidation>
    <dataValidation type="date" operator="greaterThanOrEqual" allowBlank="1" showInputMessage="1" showErrorMessage="1" error="Please enter a valid date in the format DD/MM/YYYY" promptTitle="Date Input" prompt="Please input the date using the default date format on your computer." sqref="D11:F11">
      <formula1>1</formula1>
    </dataValidation>
    <dataValidation type="list" showInputMessage="1" showErrorMessage="1" promptTitle="Choice of standard life table" prompt="Choose the standard pattern of mortality to be used. If &quot;Other&quot; is selected, values for the logits must be pasted in cells G4:G26 of the 'Models' sheet." sqref="D16:F16">
      <formula1>Model_LTs</formula1>
    </dataValidation>
    <dataValidation type="list" showDropDown="1" showInputMessage="1" showErrorMessage="1" sqref="A4:C4">
      <formula1>"http://demographicestimation.iussp.org/content/reverse-survival-methods"</formula1>
    </dataValidation>
    <dataValidation type="decimal" allowBlank="1" showInputMessage="1" showErrorMessage="1" error="Enter appropriate numerical value" sqref="D21:F21">
      <formula1>-1.5</formula1>
      <formula2>1</formula2>
    </dataValidation>
    <dataValidation type="list" showInputMessage="1" showErrorMessage="1" promptTitle="Source of data" prompt="You may define the mortality schedule(s) by inputting either probabilities of dying in childhood and adulthood (range 0 to 1) or values for alpha, the level parameter of a logit relational model life table system based on your standard (range -1.5 to 1)." sqref="D17:F17">
      <formula1>Source1</formula1>
    </dataValidation>
  </dataValidations>
  <hyperlinks>
    <hyperlink ref="A4" r:id="rId1"/>
  </hyperlinks>
  <pageMargins left="0.7" right="0.7" top="0.75" bottom="0.75" header="0.3" footer="0.3"/>
  <pageSetup paperSize="9" orientation="portrait" r:id="rId2"/>
  <cellWatches>
    <cellWatch r="E35"/>
  </cellWatches>
  <ignoredErrors>
    <ignoredError sqref="F20 D34" twoDigitTextYear="1"/>
  </ignoredErrors>
  <extLst>
    <ext xmlns:x14="http://schemas.microsoft.com/office/spreadsheetml/2009/9/main" uri="{CCE6A557-97BC-4b89-ADB6-D9C93CAAB3DF}">
      <x14:dataValidations xmlns:xm="http://schemas.microsoft.com/office/excel/2006/main" xWindow="1001" yWindow="442" count="6">
        <x14:dataValidation type="list" showInputMessage="1" showErrorMessage="1" promptTitle="Mortality table" prompt="Chose the standard pattern of mortality to be used. If &quot;Other&quot; is selected, values must be pasted in cells AR4:AR24 of the Method sheet">
          <x14:formula1>
            <xm:f>Modèles!$C$32:$C$37</xm:f>
          </x14:formula1>
          <xm:sqref>D16:F16</xm:sqref>
        </x14:dataValidation>
        <x14:dataValidation type="list" allowBlank="1" showInputMessage="1" showErrorMessage="1" promptTitle="Number of series" prompt="Choose whether the fertility schedule is to be based on a single fertility schedule (assuming constant shape), or interpolated between two schedules at different points in time.">
          <x14:formula1>
            <xm:f>Modèles!$C$47:$C$48</xm:f>
          </x14:formula1>
          <xm:sqref>D30:F30</xm:sqref>
        </x14:dataValidation>
        <x14:dataValidation type="list" allowBlank="1" showInputMessage="1" showErrorMessage="1" prompt="You may define the fertility schedule(s) to be used either by setting the values of alpha and beta resulting from application of a relational Gompertz model, or by pasting in age-specific fertility rates applicable to the date(s) to which the rates apply.">
          <x14:formula1>
            <xm:f>Méthode!#REF!</xm:f>
          </x14:formula1>
          <xm:sqref>D31:F31</xm:sqref>
        </x14:dataValidation>
        <x14:dataValidation type="list" allowBlank="1" showInputMessage="1" showErrorMessage="1">
          <x14:formula1>
            <xm:f>Modèles!C43:C44</xm:f>
          </x14:formula1>
          <xm:sqref>D31:F31</xm:sqref>
        </x14:dataValidation>
        <x14:dataValidation type="list" allowBlank="1" showInputMessage="1" showErrorMessage="1">
          <x14:formula1>
            <xm:f>Modèles!C47:C48</xm:f>
          </x14:formula1>
          <xm:sqref>D30:F30</xm:sqref>
        </x14:dataValidation>
        <x14:dataValidation type="list" allowBlank="1" showInputMessage="1" showErrorMessage="1">
          <x14:formula1>
            <xm:f>Modèles!B2:G2</xm:f>
          </x14:formula1>
          <xm:sqref>D16:F16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showGridLines="0" workbookViewId="0">
      <selection activeCell="I32" sqref="I32"/>
    </sheetView>
  </sheetViews>
  <sheetFormatPr defaultColWidth="8.77734375" defaultRowHeight="15" x14ac:dyDescent="0.2"/>
  <cols>
    <col min="1" max="1" width="5.77734375" customWidth="1"/>
    <col min="2" max="3" width="10.77734375" customWidth="1"/>
    <col min="4" max="4" width="11.109375" customWidth="1"/>
    <col min="5" max="7" width="10.77734375" customWidth="1"/>
    <col min="8" max="8" width="3.77734375" style="112" customWidth="1"/>
    <col min="9" max="10" width="10.77734375" customWidth="1"/>
    <col min="11" max="11" width="3.77734375" customWidth="1"/>
    <col min="12" max="12" width="5.77734375" customWidth="1"/>
    <col min="13" max="13" width="10.88671875" customWidth="1"/>
    <col min="14" max="14" width="11.21875" customWidth="1"/>
  </cols>
  <sheetData>
    <row r="1" spans="1:15" ht="18" x14ac:dyDescent="0.35">
      <c r="A1" s="176" t="s">
        <v>49</v>
      </c>
      <c r="B1" s="176"/>
      <c r="C1" s="176"/>
      <c r="D1" s="176"/>
      <c r="E1" s="176"/>
      <c r="F1" s="176"/>
      <c r="G1" s="177"/>
      <c r="H1" s="109"/>
      <c r="I1" s="174" t="s">
        <v>59</v>
      </c>
      <c r="J1" s="174"/>
      <c r="L1" s="146" t="s">
        <v>60</v>
      </c>
      <c r="M1" s="4"/>
    </row>
    <row r="2" spans="1:15" ht="18" x14ac:dyDescent="0.35">
      <c r="A2" s="10" t="s">
        <v>7</v>
      </c>
      <c r="B2" s="10" t="s">
        <v>50</v>
      </c>
      <c r="C2" s="10" t="s">
        <v>51</v>
      </c>
      <c r="D2" s="10" t="s">
        <v>52</v>
      </c>
      <c r="E2" s="10" t="s">
        <v>53</v>
      </c>
      <c r="F2" s="10" t="s">
        <v>54</v>
      </c>
      <c r="G2" s="16" t="s">
        <v>55</v>
      </c>
      <c r="H2" s="106"/>
      <c r="I2" s="10" t="s">
        <v>55</v>
      </c>
      <c r="J2" s="10" t="s">
        <v>15</v>
      </c>
      <c r="L2" s="86" t="s">
        <v>7</v>
      </c>
      <c r="M2" s="86" t="s">
        <v>16</v>
      </c>
    </row>
    <row r="3" spans="1:15" ht="16.5" x14ac:dyDescent="0.3">
      <c r="A3" s="105"/>
      <c r="B3" s="105"/>
      <c r="C3" s="105"/>
      <c r="D3" s="105"/>
      <c r="E3" s="105"/>
      <c r="F3" s="105"/>
      <c r="G3" s="106"/>
      <c r="H3" s="106"/>
      <c r="I3" s="105"/>
      <c r="J3" s="105"/>
      <c r="L3" s="87">
        <v>15</v>
      </c>
      <c r="M3" s="115">
        <v>-1.7521</v>
      </c>
    </row>
    <row r="4" spans="1:15" x14ac:dyDescent="0.2">
      <c r="A4" s="82">
        <v>1</v>
      </c>
      <c r="B4" s="115">
        <v>-1.2756596114442857</v>
      </c>
      <c r="C4" s="115">
        <v>-1.3300166619272631</v>
      </c>
      <c r="D4" s="115">
        <v>-1.1393153104759235</v>
      </c>
      <c r="E4" s="115">
        <v>-1.1794669380666578</v>
      </c>
      <c r="F4" s="115">
        <v>-1.2920084625948782</v>
      </c>
      <c r="G4" s="101">
        <v>-1.30851821804017</v>
      </c>
      <c r="H4" s="107"/>
      <c r="I4" s="83">
        <f>VLOOKUP(A4,$A$4:$G$10,Modèles!$D$31+1,FALSE)</f>
        <v>-1.30851821804017</v>
      </c>
      <c r="J4" s="83">
        <f t="shared" ref="J4:J26" si="0">1/(1+EXP(2*I4))</f>
        <v>0.93195000000000006</v>
      </c>
      <c r="L4" s="87">
        <v>20</v>
      </c>
      <c r="M4" s="115">
        <v>-0.69130000000000003</v>
      </c>
    </row>
    <row r="5" spans="1:15" x14ac:dyDescent="0.2">
      <c r="A5" s="82">
        <v>2</v>
      </c>
      <c r="B5" s="115">
        <v>-1.1792678283331384</v>
      </c>
      <c r="C5" s="115">
        <v>-1.2273209044445137</v>
      </c>
      <c r="D5" s="115">
        <v>-1.0270730854502448</v>
      </c>
      <c r="E5" s="115">
        <v>-1.1054931620988286</v>
      </c>
      <c r="F5" s="115">
        <v>-1.199382018993584</v>
      </c>
      <c r="G5" s="101">
        <v>-1.274457325041761</v>
      </c>
      <c r="H5" s="107"/>
      <c r="I5" s="83">
        <f>VLOOKUP(A5,$A$4:$G$10,Modèles!$D$31+1,FALSE)</f>
        <v>-1.274457325041761</v>
      </c>
      <c r="J5" s="83">
        <f t="shared" si="0"/>
        <v>0.92750056601971131</v>
      </c>
      <c r="L5" s="87">
        <v>25</v>
      </c>
      <c r="M5" s="115">
        <v>2.564E-2</v>
      </c>
    </row>
    <row r="6" spans="1:15" x14ac:dyDescent="0.2">
      <c r="A6" s="82">
        <v>3</v>
      </c>
      <c r="B6" s="115">
        <v>-1.1339041157033591</v>
      </c>
      <c r="C6" s="115">
        <v>-1.1663695111648762</v>
      </c>
      <c r="D6" s="115">
        <v>-0.98051169273159389</v>
      </c>
      <c r="E6" s="115">
        <v>-1.0757976651113399</v>
      </c>
      <c r="F6" s="115">
        <v>-1.1592413135184099</v>
      </c>
      <c r="G6" s="101">
        <v>-1.2403964320433536</v>
      </c>
      <c r="H6" s="107"/>
      <c r="I6" s="83">
        <f>VLOOKUP(A6,$A$4:$G$10,Modèles!$D$31+1,FALSE)</f>
        <v>-1.2403964320433536</v>
      </c>
      <c r="J6" s="83">
        <f t="shared" si="0"/>
        <v>0.92278431108697256</v>
      </c>
      <c r="L6" s="87">
        <v>30</v>
      </c>
      <c r="M6" s="115">
        <v>0.7</v>
      </c>
    </row>
    <row r="7" spans="1:15" x14ac:dyDescent="0.2">
      <c r="A7" s="82">
        <v>4</v>
      </c>
      <c r="B7" s="115">
        <v>-1.1061781300895608</v>
      </c>
      <c r="C7" s="115">
        <v>-1.1225793890829769</v>
      </c>
      <c r="D7" s="115">
        <v>-0.95668616163910714</v>
      </c>
      <c r="E7" s="115">
        <v>-1.0568390913683008</v>
      </c>
      <c r="F7" s="115">
        <v>-1.133848489507731</v>
      </c>
      <c r="G7" s="101">
        <v>-1.1978203157953442</v>
      </c>
      <c r="H7" s="107"/>
      <c r="I7" s="83">
        <f>VLOOKUP(A7,$A$4:$G$10,Modèles!$D$31+1,FALSE)</f>
        <v>-1.1978203157953442</v>
      </c>
      <c r="J7" s="83">
        <f t="shared" si="0"/>
        <v>0.91649427525266924</v>
      </c>
      <c r="L7" s="87">
        <v>35</v>
      </c>
      <c r="M7" s="115">
        <v>1.47872</v>
      </c>
    </row>
    <row r="8" spans="1:15" x14ac:dyDescent="0.2">
      <c r="A8" s="82">
        <v>5</v>
      </c>
      <c r="B8" s="115">
        <v>-1.0870408602371626</v>
      </c>
      <c r="C8" s="115">
        <v>-1.0899897929411233</v>
      </c>
      <c r="D8" s="115">
        <v>-0.94337274491278955</v>
      </c>
      <c r="E8" s="115">
        <v>-1.0434107208936003</v>
      </c>
      <c r="F8" s="115">
        <v>-1.1143192900977046</v>
      </c>
      <c r="G8" s="101">
        <v>-1.1722746460465387</v>
      </c>
      <c r="H8" s="107"/>
      <c r="I8" s="83">
        <f>VLOOKUP(A8,$A$4:$G$10,Modèles!$D$31+1,FALSE)</f>
        <v>-1.1722746460465387</v>
      </c>
      <c r="J8" s="83">
        <f t="shared" si="0"/>
        <v>0.91250000000000009</v>
      </c>
      <c r="L8" s="87">
        <v>40</v>
      </c>
      <c r="M8" s="115">
        <v>2.62602</v>
      </c>
    </row>
    <row r="9" spans="1:15" x14ac:dyDescent="0.2">
      <c r="A9" s="82">
        <v>10</v>
      </c>
      <c r="B9" s="115">
        <v>-1.0401061476730076</v>
      </c>
      <c r="C9" s="115">
        <v>-1.0090525505490437</v>
      </c>
      <c r="D9" s="115">
        <v>-0.9109759656016303</v>
      </c>
      <c r="E9" s="115">
        <v>-1.0043334640576214</v>
      </c>
      <c r="F9" s="115">
        <v>-1.0648450322432061</v>
      </c>
      <c r="G9" s="101">
        <v>-1.1256348467705592</v>
      </c>
      <c r="H9" s="107"/>
      <c r="I9" s="83">
        <f>VLOOKUP(A9,$A$4:$G$10,Modèles!$D$31+1,FALSE)</f>
        <v>-1.1256348467705592</v>
      </c>
      <c r="J9" s="83">
        <f t="shared" si="0"/>
        <v>0.90476000000000001</v>
      </c>
      <c r="L9" s="87">
        <v>45</v>
      </c>
      <c r="M9" s="115">
        <v>4.8097000000000003</v>
      </c>
    </row>
    <row r="10" spans="1:15" x14ac:dyDescent="0.2">
      <c r="A10" s="84">
        <v>15</v>
      </c>
      <c r="B10" s="116">
        <v>-1.0121945536850772</v>
      </c>
      <c r="C10" s="116">
        <v>-0.96635456814626275</v>
      </c>
      <c r="D10" s="116">
        <v>-0.88990310948808893</v>
      </c>
      <c r="E10" s="116">
        <v>-0.97971406825728613</v>
      </c>
      <c r="F10" s="116">
        <v>-1.0293119689456429</v>
      </c>
      <c r="G10" s="113">
        <v>-1.0968370338296407</v>
      </c>
      <c r="H10" s="107"/>
      <c r="I10" s="85">
        <f>VLOOKUP(A10,$A$4:$G$10,Modèles!$D$31+1,FALSE)</f>
        <v>-1.0968370338296407</v>
      </c>
      <c r="J10" s="85">
        <f t="shared" si="0"/>
        <v>0.89968000000000004</v>
      </c>
      <c r="L10" s="88">
        <v>50</v>
      </c>
      <c r="M10" s="116">
        <v>15</v>
      </c>
    </row>
    <row r="11" spans="1:15" x14ac:dyDescent="0.2">
      <c r="A11" s="114"/>
      <c r="B11" s="108"/>
      <c r="C11" s="108"/>
      <c r="D11" s="108"/>
      <c r="E11" s="108"/>
      <c r="F11" s="108"/>
      <c r="G11" s="108"/>
      <c r="H11" s="110"/>
      <c r="I11" s="108"/>
      <c r="J11" s="108"/>
      <c r="L11" s="21"/>
      <c r="M11" s="4"/>
    </row>
    <row r="12" spans="1:15" x14ac:dyDescent="0.2">
      <c r="A12" s="117"/>
      <c r="B12" s="110"/>
      <c r="C12" s="110"/>
      <c r="D12" s="110"/>
      <c r="E12" s="110"/>
      <c r="F12" s="110"/>
      <c r="G12" s="110"/>
      <c r="H12" s="110"/>
      <c r="I12" s="110"/>
      <c r="J12" s="110"/>
      <c r="L12" s="80"/>
      <c r="M12" s="6"/>
      <c r="O12" s="81"/>
    </row>
    <row r="13" spans="1:15" ht="18" x14ac:dyDescent="0.35">
      <c r="A13" s="176" t="s">
        <v>56</v>
      </c>
      <c r="B13" s="176"/>
      <c r="C13" s="176"/>
      <c r="D13" s="176"/>
      <c r="E13" s="176"/>
      <c r="F13" s="176"/>
      <c r="G13" s="177"/>
      <c r="H13" s="111"/>
      <c r="I13" s="174" t="s">
        <v>59</v>
      </c>
      <c r="J13" s="174"/>
      <c r="L13" s="80"/>
      <c r="M13" s="6"/>
    </row>
    <row r="14" spans="1:15" ht="16.5" x14ac:dyDescent="0.3">
      <c r="A14" s="10" t="s">
        <v>7</v>
      </c>
      <c r="B14" s="10" t="s">
        <v>50</v>
      </c>
      <c r="C14" s="10" t="s">
        <v>51</v>
      </c>
      <c r="D14" s="10" t="s">
        <v>52</v>
      </c>
      <c r="E14" s="10" t="s">
        <v>53</v>
      </c>
      <c r="F14" s="10" t="s">
        <v>54</v>
      </c>
      <c r="G14" s="16" t="s">
        <v>55</v>
      </c>
      <c r="H14" s="106"/>
      <c r="I14" s="10" t="s">
        <v>55</v>
      </c>
      <c r="J14" s="10" t="s">
        <v>15</v>
      </c>
      <c r="L14" s="80"/>
      <c r="M14" s="6"/>
    </row>
    <row r="15" spans="1:15" x14ac:dyDescent="0.2">
      <c r="A15" s="82">
        <v>10</v>
      </c>
      <c r="B15" s="115">
        <v>-1.0059690881890577</v>
      </c>
      <c r="C15" s="115">
        <v>-0.97867737240738273</v>
      </c>
      <c r="D15" s="115">
        <v>-0.87426674682746675</v>
      </c>
      <c r="E15" s="115">
        <v>-0.96210277111891918</v>
      </c>
      <c r="F15" s="115">
        <v>-1.0329081865332934</v>
      </c>
      <c r="G15" s="102">
        <v>-1.1805342553618106</v>
      </c>
      <c r="H15" s="104"/>
      <c r="I15" s="83">
        <f>VLOOKUP(A15,$A$15:$G$26,Modèles!$D$31+1,FALSE)</f>
        <v>-1.1805342553618106</v>
      </c>
      <c r="J15" s="83">
        <f t="shared" ref="J15" si="1">1/(1+EXP(2*I15))</f>
        <v>0.91381000000000001</v>
      </c>
      <c r="L15" s="80"/>
      <c r="M15" s="6"/>
    </row>
    <row r="16" spans="1:15" x14ac:dyDescent="0.2">
      <c r="A16" s="82">
        <v>15</v>
      </c>
      <c r="B16" s="115">
        <v>-0.9778828398588445</v>
      </c>
      <c r="C16" s="115">
        <v>-0.93456378789298888</v>
      </c>
      <c r="D16" s="115">
        <v>-0.85272014880258951</v>
      </c>
      <c r="E16" s="115">
        <v>-0.93688771389348002</v>
      </c>
      <c r="F16" s="115">
        <v>-0.99562585121052949</v>
      </c>
      <c r="G16" s="102">
        <v>-1.1561462834183003</v>
      </c>
      <c r="H16" s="104"/>
      <c r="I16" s="83">
        <f>VLOOKUP(A16,$A$15:$G$26,Modèles!$D$31+1,FALSE)</f>
        <v>-1.1561462834183003</v>
      </c>
      <c r="J16" s="83">
        <f t="shared" ref="J16" si="2">1/(1+EXP(2*I16))</f>
        <v>0.90988999999999998</v>
      </c>
      <c r="L16" s="80"/>
      <c r="M16" s="6"/>
    </row>
    <row r="17" spans="1:13" x14ac:dyDescent="0.2">
      <c r="A17" s="82">
        <v>20</v>
      </c>
      <c r="B17" s="115">
        <v>-0.93810586936643969</v>
      </c>
      <c r="C17" s="115">
        <v>-0.88577608039760869</v>
      </c>
      <c r="D17" s="115">
        <v>-0.82207221968309652</v>
      </c>
      <c r="E17" s="115">
        <v>-0.90144694160929184</v>
      </c>
      <c r="F17" s="115">
        <v>-0.94491044364009291</v>
      </c>
      <c r="G17" s="102">
        <v>-1.1265639497552811</v>
      </c>
      <c r="H17" s="104"/>
      <c r="I17" s="83">
        <f>VLOOKUP(A17,$A$15:$G$26,Modèles!$D$31+1,FALSE)</f>
        <v>-1.1265639497552811</v>
      </c>
      <c r="J17" s="83">
        <f t="shared" si="0"/>
        <v>0.90491999999999984</v>
      </c>
      <c r="L17" s="80"/>
      <c r="M17" s="6"/>
    </row>
    <row r="18" spans="1:13" x14ac:dyDescent="0.2">
      <c r="A18" s="82">
        <v>25</v>
      </c>
      <c r="B18" s="115">
        <v>-0.88761866143951096</v>
      </c>
      <c r="C18" s="115">
        <v>-0.83063229603261535</v>
      </c>
      <c r="D18" s="115">
        <v>-0.78407707634718316</v>
      </c>
      <c r="E18" s="115">
        <v>-0.85645781794940679</v>
      </c>
      <c r="F18" s="115">
        <v>-0.88412226434856211</v>
      </c>
      <c r="G18" s="102">
        <v>-1.0874894619222393</v>
      </c>
      <c r="H18" s="104"/>
      <c r="I18" s="83">
        <f>VLOOKUP(A18,$A$15:$G$26,Modèles!$D$31+1,FALSE)</f>
        <v>-1.0874894619222393</v>
      </c>
      <c r="J18" s="83">
        <f t="shared" si="0"/>
        <v>0.89797999999999989</v>
      </c>
      <c r="L18" s="80"/>
      <c r="M18" s="6"/>
    </row>
    <row r="19" spans="1:13" x14ac:dyDescent="0.2">
      <c r="A19" s="82">
        <v>30</v>
      </c>
      <c r="B19" s="115">
        <v>-0.83222308793731981</v>
      </c>
      <c r="C19" s="115">
        <v>-0.77200338720246053</v>
      </c>
      <c r="D19" s="115">
        <v>-0.74309524259921955</v>
      </c>
      <c r="E19" s="115">
        <v>-0.80848565605858569</v>
      </c>
      <c r="F19" s="115">
        <v>-0.82136257147134217</v>
      </c>
      <c r="G19" s="102">
        <v>-1.0399289295386134</v>
      </c>
      <c r="H19" s="104"/>
      <c r="I19" s="83">
        <f>VLOOKUP(A19,$A$15:$G$26,Modèles!$D$31+1,FALSE)</f>
        <v>-1.0399289295386134</v>
      </c>
      <c r="J19" s="83">
        <f t="shared" si="0"/>
        <v>0.88893000000000011</v>
      </c>
      <c r="L19" s="80"/>
      <c r="M19" s="6"/>
    </row>
    <row r="20" spans="1:13" x14ac:dyDescent="0.2">
      <c r="A20" s="82">
        <v>35</v>
      </c>
      <c r="B20" s="115">
        <v>-0.77161320305701064</v>
      </c>
      <c r="C20" s="115">
        <v>-0.71174620737879146</v>
      </c>
      <c r="D20" s="115">
        <v>-0.70212800843649648</v>
      </c>
      <c r="E20" s="115">
        <v>-0.75720799673579831</v>
      </c>
      <c r="F20" s="115">
        <v>-0.75642199010305966</v>
      </c>
      <c r="G20" s="102">
        <v>-0.97735816678057041</v>
      </c>
      <c r="H20" s="104"/>
      <c r="I20" s="83">
        <f>VLOOKUP(A20,$A$15:$G$26,Modèles!$D$31+1,FALSE)</f>
        <v>-0.97735816678057041</v>
      </c>
      <c r="J20" s="83">
        <f t="shared" si="0"/>
        <v>0.87595999999999996</v>
      </c>
      <c r="L20" s="80"/>
      <c r="M20" s="6"/>
    </row>
    <row r="21" spans="1:13" x14ac:dyDescent="0.2">
      <c r="A21" s="82">
        <v>40</v>
      </c>
      <c r="B21" s="115">
        <v>-0.70536613769800149</v>
      </c>
      <c r="C21" s="115">
        <v>-0.6489531581506035</v>
      </c>
      <c r="D21" s="115">
        <v>-0.65777314927556685</v>
      </c>
      <c r="E21" s="115">
        <v>-0.70143650532592283</v>
      </c>
      <c r="F21" s="115">
        <v>-0.68862800696556059</v>
      </c>
      <c r="G21" s="102">
        <v>-0.90885034802260245</v>
      </c>
      <c r="H21" s="104"/>
      <c r="I21" s="83">
        <f>VLOOKUP(A21,$A$15:$G$26,Modèles!$D$31+1,FALSE)</f>
        <v>-0.90885034802260245</v>
      </c>
      <c r="J21" s="83">
        <f t="shared" si="0"/>
        <v>0.86029</v>
      </c>
      <c r="L21" s="21"/>
      <c r="M21" s="4"/>
    </row>
    <row r="22" spans="1:13" x14ac:dyDescent="0.2">
      <c r="A22" s="82">
        <v>45</v>
      </c>
      <c r="B22" s="115">
        <v>-0.63225842771700302</v>
      </c>
      <c r="C22" s="115">
        <v>-0.58010435644994485</v>
      </c>
      <c r="D22" s="115">
        <v>-0.60809129187599065</v>
      </c>
      <c r="E22" s="115">
        <v>-0.64063233149904941</v>
      </c>
      <c r="F22" s="115">
        <v>-0.61631192568392912</v>
      </c>
      <c r="G22" s="102">
        <v>-0.83614162392124303</v>
      </c>
      <c r="H22" s="104"/>
      <c r="I22" s="83">
        <f>VLOOKUP(A22,$A$15:$G$26,Modèles!$D$31+1,FALSE)</f>
        <v>-0.83614162392124303</v>
      </c>
      <c r="J22" s="83">
        <f t="shared" si="0"/>
        <v>0.84187999999999996</v>
      </c>
      <c r="L22" s="21"/>
      <c r="M22" s="4"/>
    </row>
    <row r="23" spans="1:13" x14ac:dyDescent="0.2">
      <c r="A23" s="82">
        <v>50</v>
      </c>
      <c r="B23" s="115">
        <v>-0.54716064042354773</v>
      </c>
      <c r="C23" s="115">
        <v>-0.50864167857923615</v>
      </c>
      <c r="D23" s="115">
        <v>-0.55207839286799509</v>
      </c>
      <c r="E23" s="115">
        <v>-0.56974874560225386</v>
      </c>
      <c r="F23" s="115">
        <v>-0.53540369879947558</v>
      </c>
      <c r="G23" s="102">
        <v>-0.75112561787799181</v>
      </c>
      <c r="H23" s="104"/>
      <c r="I23" s="83">
        <f>VLOOKUP(A23,$A$15:$G$26,Modèles!$D$31+1,FALSE)</f>
        <v>-0.75112561787799181</v>
      </c>
      <c r="J23" s="83">
        <f t="shared" si="0"/>
        <v>0.81791000000000003</v>
      </c>
      <c r="L23" s="21"/>
      <c r="M23" s="4"/>
    </row>
    <row r="24" spans="1:13" x14ac:dyDescent="0.2">
      <c r="A24" s="82">
        <v>55</v>
      </c>
      <c r="B24" s="115">
        <v>-0.44323137082095437</v>
      </c>
      <c r="C24" s="115">
        <v>-0.42279162488953242</v>
      </c>
      <c r="D24" s="115">
        <v>-0.48008226256731529</v>
      </c>
      <c r="E24" s="115">
        <v>-0.48057184541702924</v>
      </c>
      <c r="F24" s="115">
        <v>-0.43713086722588262</v>
      </c>
      <c r="G24" s="102">
        <v>-0.64669372991870488</v>
      </c>
      <c r="H24" s="104"/>
      <c r="I24" s="83">
        <f>VLOOKUP(A24,$A$15:$G$26,Modèles!$D$31+1,FALSE)</f>
        <v>-0.64669372991870488</v>
      </c>
      <c r="J24" s="83">
        <f t="shared" si="0"/>
        <v>0.78471999999999997</v>
      </c>
      <c r="L24" s="21"/>
      <c r="M24" s="6"/>
    </row>
    <row r="25" spans="1:13" x14ac:dyDescent="0.2">
      <c r="A25" s="82">
        <v>60</v>
      </c>
      <c r="B25" s="115">
        <v>-0.31406112015068494</v>
      </c>
      <c r="C25" s="115">
        <v>-0.32102416945414897</v>
      </c>
      <c r="D25" s="115">
        <v>-0.38856998615937</v>
      </c>
      <c r="E25" s="115">
        <v>-0.36529580454443744</v>
      </c>
      <c r="F25" s="115">
        <v>-0.3186589915311997</v>
      </c>
      <c r="G25" s="102">
        <v>-0.51612016514848946</v>
      </c>
      <c r="H25" s="104"/>
      <c r="I25" s="83">
        <f>VLOOKUP(A25,$A$15:$G$26,Modèles!$D$31+1,FALSE)</f>
        <v>-0.51612016514848946</v>
      </c>
      <c r="J25" s="83">
        <f t="shared" si="0"/>
        <v>0.73734999999999995</v>
      </c>
      <c r="L25" s="21"/>
      <c r="M25" s="4"/>
    </row>
    <row r="26" spans="1:13" x14ac:dyDescent="0.2">
      <c r="A26" s="84">
        <v>65</v>
      </c>
      <c r="B26" s="116">
        <v>-0.15350037229977559</v>
      </c>
      <c r="C26" s="116">
        <v>-0.18761837894537206</v>
      </c>
      <c r="D26" s="116">
        <v>-0.25906906882787523</v>
      </c>
      <c r="E26" s="116">
        <v>-0.21177193364854202</v>
      </c>
      <c r="F26" s="116">
        <v>-0.16637525937102554</v>
      </c>
      <c r="G26" s="103">
        <v>-0.36125614416418289</v>
      </c>
      <c r="H26" s="104"/>
      <c r="I26" s="85">
        <f>VLOOKUP(A26,$A$15:$G$26,Modèles!$D$31+1,FALSE)</f>
        <v>-0.36125614416418289</v>
      </c>
      <c r="J26" s="85">
        <f t="shared" si="0"/>
        <v>0.67315999999999998</v>
      </c>
      <c r="L26" s="21"/>
      <c r="M26" s="4"/>
    </row>
    <row r="27" spans="1:13" x14ac:dyDescent="0.2">
      <c r="L27" s="21"/>
      <c r="M27" s="4"/>
    </row>
    <row r="28" spans="1:13" x14ac:dyDescent="0.2">
      <c r="B28" s="175" t="str">
        <f>Introduction!D9&amp;" "&amp; TEXT(YEAR(Introduction!D11),"####")</f>
        <v>Cambodge 2008</v>
      </c>
      <c r="C28" s="175"/>
      <c r="D28" s="175"/>
      <c r="E28" s="11"/>
      <c r="L28" s="21"/>
      <c r="M28" s="4"/>
    </row>
    <row r="29" spans="1:13" x14ac:dyDescent="0.2">
      <c r="B29" s="11" t="s">
        <v>57</v>
      </c>
      <c r="C29" s="149">
        <f>YEAR(Introduction!D11)+YEARFRAC(DATE(YEAR(Introduction!D11),1,1),Introduction!D11,1)</f>
        <v>2008.1693989071039</v>
      </c>
      <c r="D29" s="11"/>
      <c r="E29" s="11"/>
      <c r="L29" s="21"/>
      <c r="M29" s="4"/>
    </row>
    <row r="30" spans="1:13" x14ac:dyDescent="0.2">
      <c r="B30" s="11"/>
      <c r="C30" s="11"/>
      <c r="D30" s="11"/>
      <c r="E30" s="11"/>
      <c r="L30" s="21"/>
      <c r="M30" s="4"/>
    </row>
    <row r="31" spans="1:13" x14ac:dyDescent="0.2">
      <c r="B31" s="24" t="s">
        <v>58</v>
      </c>
      <c r="C31" s="11"/>
      <c r="D31" s="11">
        <f>MATCH(Introduction!D16,C32:C37,0)</f>
        <v>6</v>
      </c>
      <c r="E31" s="11"/>
      <c r="L31" s="21"/>
      <c r="M31" s="4"/>
    </row>
    <row r="32" spans="1:13" x14ac:dyDescent="0.2">
      <c r="B32" s="11"/>
      <c r="C32" s="25" t="s">
        <v>50</v>
      </c>
      <c r="D32" s="11"/>
      <c r="E32" s="11"/>
      <c r="L32" s="21"/>
      <c r="M32" s="4"/>
    </row>
    <row r="33" spans="2:13" x14ac:dyDescent="0.2">
      <c r="B33" s="11"/>
      <c r="C33" s="26" t="s">
        <v>51</v>
      </c>
      <c r="D33" s="11"/>
      <c r="E33" s="11"/>
      <c r="L33" s="21"/>
      <c r="M33" s="4"/>
    </row>
    <row r="34" spans="2:13" x14ac:dyDescent="0.2">
      <c r="B34" s="11"/>
      <c r="C34" s="26" t="s">
        <v>52</v>
      </c>
      <c r="D34" s="11"/>
      <c r="E34" s="11"/>
      <c r="L34" s="21"/>
      <c r="M34" s="4"/>
    </row>
    <row r="35" spans="2:13" x14ac:dyDescent="0.2">
      <c r="B35" s="11"/>
      <c r="C35" s="26" t="s">
        <v>53</v>
      </c>
      <c r="D35" s="11"/>
      <c r="E35" s="11"/>
      <c r="L35" s="21"/>
      <c r="M35" s="4"/>
    </row>
    <row r="36" spans="2:13" x14ac:dyDescent="0.2">
      <c r="B36" s="11"/>
      <c r="C36" s="26" t="s">
        <v>54</v>
      </c>
      <c r="D36" s="11"/>
      <c r="E36" s="11"/>
      <c r="L36" s="21"/>
      <c r="M36" s="4"/>
    </row>
    <row r="37" spans="2:13" x14ac:dyDescent="0.2">
      <c r="B37" s="11"/>
      <c r="C37" s="27" t="s">
        <v>55</v>
      </c>
      <c r="D37" s="11"/>
      <c r="E37" s="11"/>
      <c r="L37" s="21"/>
      <c r="M37" s="4"/>
    </row>
    <row r="38" spans="2:13" x14ac:dyDescent="0.2">
      <c r="B38" s="11"/>
      <c r="C38" s="11"/>
      <c r="D38" s="11"/>
      <c r="E38" s="11"/>
      <c r="L38" s="21"/>
      <c r="M38" s="4"/>
    </row>
    <row r="39" spans="2:13" x14ac:dyDescent="0.2">
      <c r="B39" s="11" t="s">
        <v>83</v>
      </c>
      <c r="C39" s="11"/>
      <c r="D39" s="11">
        <f>MATCH(Introduction!D17,C40:C41,0)</f>
        <v>2</v>
      </c>
      <c r="E39" s="11"/>
      <c r="L39" s="21"/>
      <c r="M39" s="4"/>
    </row>
    <row r="40" spans="2:13" ht="16.5" x14ac:dyDescent="0.3">
      <c r="B40" s="11"/>
      <c r="C40" s="25" t="s">
        <v>84</v>
      </c>
      <c r="D40" s="99"/>
      <c r="E40" s="99"/>
      <c r="L40" s="21"/>
      <c r="M40" s="4"/>
    </row>
    <row r="41" spans="2:13" x14ac:dyDescent="0.2">
      <c r="B41" s="11"/>
      <c r="C41" s="27" t="s">
        <v>88</v>
      </c>
      <c r="D41" s="100"/>
      <c r="E41" s="100"/>
      <c r="L41" s="21"/>
      <c r="M41" s="4"/>
    </row>
    <row r="42" spans="2:13" x14ac:dyDescent="0.2">
      <c r="B42" s="11" t="s">
        <v>85</v>
      </c>
      <c r="C42" s="11"/>
      <c r="D42" s="11">
        <f>MATCH(Introduction!D31,C43:C44,0)</f>
        <v>1</v>
      </c>
      <c r="E42" s="11"/>
      <c r="L42" s="21"/>
      <c r="M42" s="4"/>
    </row>
    <row r="43" spans="2:13" x14ac:dyDescent="0.2">
      <c r="B43" s="11"/>
      <c r="C43" s="25" t="s">
        <v>86</v>
      </c>
      <c r="D43" s="150"/>
      <c r="E43" s="99"/>
      <c r="L43" s="21"/>
      <c r="M43" s="4"/>
    </row>
    <row r="44" spans="2:13" x14ac:dyDescent="0.2">
      <c r="B44" s="11"/>
      <c r="C44" s="27" t="s">
        <v>87</v>
      </c>
      <c r="D44" s="100"/>
      <c r="E44" s="100"/>
      <c r="L44" s="21"/>
      <c r="M44" s="4"/>
    </row>
    <row r="45" spans="2:13" x14ac:dyDescent="0.2">
      <c r="B45" s="11"/>
      <c r="C45" s="11"/>
      <c r="D45" s="11"/>
      <c r="E45" s="11"/>
      <c r="L45" s="21"/>
      <c r="M45" s="4"/>
    </row>
    <row r="46" spans="2:13" x14ac:dyDescent="0.2">
      <c r="B46" s="11" t="s">
        <v>89</v>
      </c>
      <c r="C46" s="11"/>
      <c r="D46" s="11">
        <f>MATCH(Introduction!D30,C47:C48,0)</f>
        <v>2</v>
      </c>
      <c r="E46" s="11"/>
      <c r="L46" s="21"/>
      <c r="M46" s="4"/>
    </row>
    <row r="47" spans="2:13" x14ac:dyDescent="0.2">
      <c r="B47" s="11"/>
      <c r="C47" s="25" t="s">
        <v>90</v>
      </c>
      <c r="D47" s="11"/>
      <c r="E47" s="11"/>
      <c r="L47" s="21"/>
      <c r="M47" s="4"/>
    </row>
    <row r="48" spans="2:13" x14ac:dyDescent="0.2">
      <c r="B48" s="11"/>
      <c r="C48" s="27" t="s">
        <v>91</v>
      </c>
      <c r="D48" s="11"/>
      <c r="E48" s="11"/>
      <c r="L48" s="21"/>
      <c r="M48" s="4"/>
    </row>
    <row r="49" spans="12:13" x14ac:dyDescent="0.2">
      <c r="L49" s="21"/>
      <c r="M49" s="4"/>
    </row>
    <row r="50" spans="12:13" x14ac:dyDescent="0.2">
      <c r="L50" s="21"/>
      <c r="M50" s="4"/>
    </row>
    <row r="51" spans="12:13" x14ac:dyDescent="0.2">
      <c r="L51" s="21"/>
      <c r="M51" s="4"/>
    </row>
    <row r="52" spans="12:13" x14ac:dyDescent="0.2">
      <c r="L52" s="21"/>
      <c r="M52" s="4"/>
    </row>
    <row r="53" spans="12:13" x14ac:dyDescent="0.2">
      <c r="L53" s="21"/>
      <c r="M53" s="4"/>
    </row>
    <row r="54" spans="12:13" x14ac:dyDescent="0.2">
      <c r="L54" s="21"/>
      <c r="M54" s="4"/>
    </row>
    <row r="55" spans="12:13" x14ac:dyDescent="0.2">
      <c r="L55" s="21"/>
      <c r="M55" s="4"/>
    </row>
    <row r="56" spans="12:13" x14ac:dyDescent="0.2">
      <c r="L56" s="21"/>
      <c r="M56" s="4"/>
    </row>
    <row r="57" spans="12:13" x14ac:dyDescent="0.2">
      <c r="L57" s="21"/>
      <c r="M57" s="4"/>
    </row>
    <row r="58" spans="12:13" x14ac:dyDescent="0.2">
      <c r="L58" s="21"/>
      <c r="M58" s="4"/>
    </row>
    <row r="59" spans="12:13" x14ac:dyDescent="0.2">
      <c r="L59" s="21"/>
      <c r="M59" s="4"/>
    </row>
    <row r="60" spans="12:13" x14ac:dyDescent="0.2">
      <c r="L60" s="21"/>
      <c r="M60" s="4"/>
    </row>
    <row r="61" spans="12:13" x14ac:dyDescent="0.2">
      <c r="L61" s="21"/>
      <c r="M61" s="4"/>
    </row>
    <row r="62" spans="12:13" x14ac:dyDescent="0.2">
      <c r="L62" s="21"/>
      <c r="M62" s="4"/>
    </row>
    <row r="63" spans="12:13" x14ac:dyDescent="0.2">
      <c r="L63" s="21"/>
      <c r="M63" s="4"/>
    </row>
    <row r="64" spans="12:13" x14ac:dyDescent="0.2">
      <c r="L64" s="21"/>
      <c r="M64" s="4"/>
    </row>
    <row r="65" spans="12:13" x14ac:dyDescent="0.2">
      <c r="L65" s="21"/>
      <c r="M65" s="4"/>
    </row>
    <row r="66" spans="12:13" x14ac:dyDescent="0.2">
      <c r="L66" s="21"/>
      <c r="M66" s="4"/>
    </row>
    <row r="67" spans="12:13" x14ac:dyDescent="0.2">
      <c r="L67" s="21"/>
      <c r="M67" s="4"/>
    </row>
    <row r="68" spans="12:13" x14ac:dyDescent="0.2">
      <c r="L68" s="21"/>
      <c r="M68" s="4"/>
    </row>
    <row r="69" spans="12:13" x14ac:dyDescent="0.2">
      <c r="L69" s="21"/>
      <c r="M69" s="4"/>
    </row>
    <row r="70" spans="12:13" x14ac:dyDescent="0.2">
      <c r="L70" s="21"/>
      <c r="M70" s="4"/>
    </row>
    <row r="71" spans="12:13" x14ac:dyDescent="0.2">
      <c r="L71" s="21"/>
      <c r="M71" s="4"/>
    </row>
    <row r="72" spans="12:13" x14ac:dyDescent="0.2">
      <c r="L72" s="21"/>
      <c r="M72" s="4"/>
    </row>
    <row r="73" spans="12:13" x14ac:dyDescent="0.2">
      <c r="L73" s="21"/>
      <c r="M73" s="4"/>
    </row>
    <row r="74" spans="12:13" x14ac:dyDescent="0.2">
      <c r="L74" s="21"/>
      <c r="M74" s="4"/>
    </row>
    <row r="75" spans="12:13" x14ac:dyDescent="0.2">
      <c r="L75" s="21"/>
      <c r="M75" s="4"/>
    </row>
    <row r="76" spans="12:13" x14ac:dyDescent="0.2">
      <c r="L76" s="21"/>
      <c r="M76" s="4"/>
    </row>
    <row r="77" spans="12:13" x14ac:dyDescent="0.2">
      <c r="L77" s="21"/>
      <c r="M77" s="4"/>
    </row>
    <row r="78" spans="12:13" x14ac:dyDescent="0.2">
      <c r="L78" s="21"/>
      <c r="M78" s="4"/>
    </row>
    <row r="79" spans="12:13" x14ac:dyDescent="0.2">
      <c r="L79" s="21"/>
      <c r="M79" s="4"/>
    </row>
    <row r="80" spans="12:13" x14ac:dyDescent="0.2">
      <c r="L80" s="21"/>
      <c r="M80" s="4"/>
    </row>
    <row r="81" spans="12:13" x14ac:dyDescent="0.2">
      <c r="L81" s="21"/>
      <c r="M81" s="4"/>
    </row>
    <row r="82" spans="12:13" x14ac:dyDescent="0.2">
      <c r="L82" s="21"/>
      <c r="M82" s="4"/>
    </row>
    <row r="83" spans="12:13" x14ac:dyDescent="0.2">
      <c r="L83" s="21"/>
      <c r="M83" s="4"/>
    </row>
    <row r="84" spans="12:13" x14ac:dyDescent="0.2">
      <c r="L84" s="21"/>
      <c r="M84" s="4"/>
    </row>
    <row r="85" spans="12:13" x14ac:dyDescent="0.2">
      <c r="L85" s="21"/>
      <c r="M85" s="4"/>
    </row>
    <row r="86" spans="12:13" x14ac:dyDescent="0.2">
      <c r="L86" s="21"/>
      <c r="M86" s="4"/>
    </row>
    <row r="87" spans="12:13" x14ac:dyDescent="0.2">
      <c r="L87" s="21"/>
      <c r="M87" s="4"/>
    </row>
  </sheetData>
  <sheetProtection sheet="1" objects="1" scenarios="1"/>
  <mergeCells count="5">
    <mergeCell ref="I1:J1"/>
    <mergeCell ref="B28:D28"/>
    <mergeCell ref="A13:G13"/>
    <mergeCell ref="A1:G1"/>
    <mergeCell ref="I13:J13"/>
  </mergeCells>
  <dataValidations count="1">
    <dataValidation type="decimal" allowBlank="1" showInputMessage="1" showErrorMessage="1" error="Enter appropriate numeric values for the logits" sqref="G4:H12 G15:H26">
      <formula1>-2</formula1>
      <formula2>2</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A1:AL96"/>
  <sheetViews>
    <sheetView zoomScaleNormal="100" workbookViewId="0">
      <selection activeCell="A4" sqref="A4:D4"/>
    </sheetView>
  </sheetViews>
  <sheetFormatPr defaultColWidth="12.6640625" defaultRowHeight="12.75" x14ac:dyDescent="0.2"/>
  <cols>
    <col min="1" max="1" width="6.77734375" style="4" customWidth="1"/>
    <col min="2" max="4" width="9.21875" style="4" customWidth="1"/>
    <col min="5" max="5" width="4.77734375" style="4" customWidth="1"/>
    <col min="6" max="6" width="9.21875" style="4" customWidth="1"/>
    <col min="7" max="8" width="9.21875" style="28" customWidth="1"/>
    <col min="9" max="9" width="9.21875" style="4" customWidth="1"/>
    <col min="10" max="10" width="4.77734375" style="4" customWidth="1"/>
    <col min="11" max="11" width="7.44140625" style="21" customWidth="1"/>
    <col min="12" max="12" width="10.21875" style="4" customWidth="1"/>
    <col min="13" max="39" width="9.21875" style="4" customWidth="1"/>
    <col min="40" max="16384" width="12.6640625" style="4"/>
  </cols>
  <sheetData>
    <row r="1" spans="1:24" ht="18.75" customHeight="1" x14ac:dyDescent="0.3">
      <c r="N1" s="122" t="s">
        <v>68</v>
      </c>
      <c r="O1" s="6">
        <f>IF(ISBLANK(Introduction!D22),1,Introduction!D22)</f>
        <v>1</v>
      </c>
      <c r="P1" s="6">
        <f>IF(ISBLANK(Introduction!E22),1,Introduction!E22)</f>
        <v>1.0979000000000001</v>
      </c>
      <c r="Q1" s="6">
        <f>IF(ISBLANK(Introduction!F22),1,Introduction!F22)</f>
        <v>1.1722999999999999</v>
      </c>
    </row>
    <row r="2" spans="1:24" ht="18.75" customHeight="1" x14ac:dyDescent="0.3">
      <c r="N2" s="122" t="s">
        <v>28</v>
      </c>
      <c r="O2" s="6">
        <f>IF(ISBLANK(Introduction!D21),0,IF(Type_source1=2,Introduction!D21,0.5*LN(Introduction!D21/(1-Introduction!D21))-Méthode!O1*Modèles!$I$8))</f>
        <v>0</v>
      </c>
      <c r="P2" s="6">
        <f>IF(ISBLANK(Introduction!E21),0,IF(Type_source1=2,Introduction!E21,0.5*LN(Introduction!E21/(1-Introduction!E21))-Méthode!P1*Modèles!$I$8))</f>
        <v>0.2165</v>
      </c>
      <c r="Q2" s="6">
        <f>IF(ISBLANK(Introduction!F21),0,IF(Type_source1=2,Introduction!F21,0.5*LN(Introduction!F21/(1-Introduction!F21))-Méthode!Q1*Modèles!$I$8))</f>
        <v>0.3533</v>
      </c>
    </row>
    <row r="3" spans="1:24" ht="18.75" customHeight="1" x14ac:dyDescent="0.2"/>
    <row r="4" spans="1:24" ht="18.75" customHeight="1" x14ac:dyDescent="0.3">
      <c r="A4" s="178" t="str">
        <f>"Données du recensement "&amp;TEXT(YEAR(Introduction!D11),"####")&amp;" de "&amp;Introduction!D9</f>
        <v>Données du recensement 2008 de Cambodge</v>
      </c>
      <c r="B4" s="178"/>
      <c r="C4" s="178"/>
      <c r="D4" s="178"/>
      <c r="F4" s="178" t="s">
        <v>37</v>
      </c>
      <c r="G4" s="178"/>
      <c r="H4" s="178"/>
      <c r="K4" s="147" t="s">
        <v>66</v>
      </c>
      <c r="L4" s="78"/>
      <c r="N4" s="179" t="s">
        <v>69</v>
      </c>
      <c r="O4" s="180"/>
      <c r="P4" s="180"/>
      <c r="Q4" s="180"/>
    </row>
    <row r="5" spans="1:24" ht="18.75" customHeight="1" x14ac:dyDescent="0.35">
      <c r="A5" s="44" t="s">
        <v>7</v>
      </c>
      <c r="B5" s="44" t="s">
        <v>61</v>
      </c>
      <c r="C5" s="44" t="s">
        <v>7</v>
      </c>
      <c r="D5" s="44" t="s">
        <v>62</v>
      </c>
      <c r="F5" s="12" t="s">
        <v>63</v>
      </c>
      <c r="G5" s="20" t="s">
        <v>64</v>
      </c>
      <c r="H5" s="12" t="s">
        <v>65</v>
      </c>
      <c r="K5" s="12" t="s">
        <v>63</v>
      </c>
      <c r="L5" s="51" t="s">
        <v>67</v>
      </c>
      <c r="N5" s="17" t="s">
        <v>8</v>
      </c>
      <c r="O5" s="16" t="s">
        <v>17</v>
      </c>
      <c r="P5" s="16" t="s">
        <v>18</v>
      </c>
      <c r="Q5" s="16" t="s">
        <v>19</v>
      </c>
      <c r="R5" s="16" t="s">
        <v>20</v>
      </c>
      <c r="S5" s="16" t="s">
        <v>21</v>
      </c>
      <c r="T5" s="16" t="s">
        <v>22</v>
      </c>
      <c r="U5" s="16" t="s">
        <v>23</v>
      </c>
      <c r="V5" s="16" t="s">
        <v>24</v>
      </c>
      <c r="W5" s="16" t="s">
        <v>25</v>
      </c>
      <c r="X5" s="16" t="s">
        <v>93</v>
      </c>
    </row>
    <row r="6" spans="1:24" ht="18.75" customHeight="1" x14ac:dyDescent="0.2">
      <c r="A6" s="21">
        <v>0</v>
      </c>
      <c r="B6" s="42">
        <v>281260</v>
      </c>
      <c r="C6" s="43" t="s">
        <v>11</v>
      </c>
      <c r="D6" s="42">
        <v>815930</v>
      </c>
      <c r="F6" s="29">
        <f t="array" ref="F6:F20">TRANSPOSE(L24:Z24)</f>
        <v>2007.6693989071039</v>
      </c>
      <c r="G6" s="76">
        <f t="array" ref="G6:G20">TRANSPOSE(L46:Z46)</f>
        <v>81.943993720424317</v>
      </c>
      <c r="H6" s="22">
        <f t="array" ref="H6:H20">TRANSPOSE(L45:Z45)</f>
        <v>2.7551790364673892</v>
      </c>
      <c r="K6" s="5">
        <f>F6</f>
        <v>2007.6693989071039</v>
      </c>
      <c r="L6" s="23">
        <f t="shared" ref="L6:L20" si="0">B6/X6</f>
        <v>295327.94674310798</v>
      </c>
      <c r="N6" s="18">
        <v>0</v>
      </c>
      <c r="O6" s="6"/>
      <c r="P6" s="6"/>
      <c r="Q6" s="6"/>
      <c r="R6" s="6">
        <f>0.3+0.7*1/(1+EXP(2*O7))</f>
        <v>0.95236499999999991</v>
      </c>
      <c r="S6" s="6">
        <f>0.3+0.7*1/(1+EXP(2*P7))</f>
        <v>0.94389157151883785</v>
      </c>
      <c r="T6" s="6">
        <f>0.3+0.7*1/(1+EXP(2*Q7))</f>
        <v>0.93968261750078041</v>
      </c>
      <c r="U6" s="6">
        <f>R6</f>
        <v>0.95236499999999991</v>
      </c>
      <c r="V6" s="6">
        <f>S6</f>
        <v>0.94389157151883785</v>
      </c>
      <c r="W6" s="6">
        <f>T6</f>
        <v>0.93968261750078041</v>
      </c>
      <c r="X6" s="6">
        <f>U6</f>
        <v>0.95236499999999991</v>
      </c>
    </row>
    <row r="7" spans="1:24" ht="18.75" customHeight="1" x14ac:dyDescent="0.2">
      <c r="A7" s="21">
        <v>1</v>
      </c>
      <c r="B7" s="42">
        <v>261320</v>
      </c>
      <c r="C7" s="43" t="s">
        <v>0</v>
      </c>
      <c r="D7" s="42">
        <v>780320</v>
      </c>
      <c r="F7" s="29">
        <v>2006.6693989071039</v>
      </c>
      <c r="G7" s="76">
        <v>79.923898156247546</v>
      </c>
      <c r="H7" s="22">
        <v>2.6877480748809024</v>
      </c>
      <c r="K7" s="5">
        <f t="shared" ref="K7:K20" si="1">F7</f>
        <v>2006.6693989071039</v>
      </c>
      <c r="L7" s="23">
        <f t="shared" si="0"/>
        <v>281062.43079280772</v>
      </c>
      <c r="N7" s="18">
        <v>1</v>
      </c>
      <c r="O7" s="6">
        <f>O$2+O$1*Modèles!$I4</f>
        <v>-1.30851821804017</v>
      </c>
      <c r="P7" s="6">
        <f>P$2+P$1*Modèles!$I4</f>
        <v>-1.2201221515863028</v>
      </c>
      <c r="Q7" s="6">
        <f>Q$2+Q$1*Modèles!$I4</f>
        <v>-1.1806759070084911</v>
      </c>
      <c r="R7" s="6">
        <f t="shared" ref="R7:T10" si="2">1/(1+EXP(O7+O8))</f>
        <v>0.92975784512672432</v>
      </c>
      <c r="S7" s="6">
        <f t="shared" si="2"/>
        <v>0.91704428465769938</v>
      </c>
      <c r="T7" s="6">
        <f t="shared" si="2"/>
        <v>0.9106357468470746</v>
      </c>
      <c r="U7" s="6">
        <f>R7/R6</f>
        <v>0.97626208977306439</v>
      </c>
      <c r="V7" s="6">
        <f t="shared" ref="V7:W20" si="3">S7/S6</f>
        <v>0.97155681047354003</v>
      </c>
      <c r="W7" s="6">
        <f t="shared" si="3"/>
        <v>0.96908863683042246</v>
      </c>
      <c r="X7" s="6">
        <f>U6*U7</f>
        <v>0.92975784512672432</v>
      </c>
    </row>
    <row r="8" spans="1:24" ht="18.75" customHeight="1" x14ac:dyDescent="0.2">
      <c r="A8" s="21">
        <v>2</v>
      </c>
      <c r="B8" s="42">
        <v>268410</v>
      </c>
      <c r="C8" s="43" t="s">
        <v>1</v>
      </c>
      <c r="D8" s="42">
        <v>697160</v>
      </c>
      <c r="F8" s="29">
        <v>2005.6693989071039</v>
      </c>
      <c r="G8" s="76">
        <v>84.601393637408037</v>
      </c>
      <c r="H8" s="22">
        <v>2.8471822020948787</v>
      </c>
      <c r="K8" s="5">
        <f t="shared" si="1"/>
        <v>2005.6693989071039</v>
      </c>
      <c r="L8" s="23">
        <f t="shared" si="0"/>
        <v>290117.58861431672</v>
      </c>
      <c r="N8" s="18">
        <v>2</v>
      </c>
      <c r="O8" s="6">
        <f>O$2+O$1*Modèles!$I5</f>
        <v>-1.274457325041761</v>
      </c>
      <c r="P8" s="6">
        <f>P$2+P$1*Modèles!$I5</f>
        <v>-1.1827266971633497</v>
      </c>
      <c r="Q8" s="6">
        <f>Q$2+Q$1*Modèles!$I5</f>
        <v>-1.1407463221464564</v>
      </c>
      <c r="R8" s="6">
        <f t="shared" si="2"/>
        <v>0.92517658540456549</v>
      </c>
      <c r="S8" s="6">
        <f t="shared" si="2"/>
        <v>0.91117428019294577</v>
      </c>
      <c r="T8" s="6">
        <f t="shared" si="2"/>
        <v>0.90392029322678225</v>
      </c>
      <c r="U8" s="6">
        <f t="shared" ref="U8:U20" si="4">R8/R7</f>
        <v>0.99507263128117573</v>
      </c>
      <c r="V8" s="6">
        <f t="shared" si="3"/>
        <v>0.99359899563962206</v>
      </c>
      <c r="W8" s="6">
        <f t="shared" si="3"/>
        <v>0.99262553260890152</v>
      </c>
      <c r="X8" s="6">
        <f>U6*U7*U8</f>
        <v>0.92517658540456549</v>
      </c>
    </row>
    <row r="9" spans="1:24" ht="18.75" customHeight="1" x14ac:dyDescent="0.2">
      <c r="A9" s="21">
        <v>3</v>
      </c>
      <c r="B9" s="42">
        <v>286810</v>
      </c>
      <c r="C9" s="43" t="s">
        <v>2</v>
      </c>
      <c r="D9" s="42">
        <v>626430</v>
      </c>
      <c r="F9" s="29">
        <v>2004.6693989071039</v>
      </c>
      <c r="G9" s="76">
        <v>93.484360318588045</v>
      </c>
      <c r="H9" s="22">
        <v>3.1504248162204305</v>
      </c>
      <c r="K9" s="5">
        <f t="shared" si="1"/>
        <v>2004.6693989071039</v>
      </c>
      <c r="L9" s="23">
        <f t="shared" si="0"/>
        <v>312409.13876873645</v>
      </c>
      <c r="N9" s="18">
        <v>3</v>
      </c>
      <c r="O9" s="6">
        <f>O$2+O$1*Modèles!$I6</f>
        <v>-1.2403964320433536</v>
      </c>
      <c r="P9" s="6">
        <f>P$2+P$1*Modèles!$I6</f>
        <v>-1.1453312427403981</v>
      </c>
      <c r="Q9" s="6">
        <f>Q$2+Q$1*Modèles!$I6</f>
        <v>-1.1008167372844233</v>
      </c>
      <c r="R9" s="6">
        <f t="shared" si="2"/>
        <v>0.91969548301872772</v>
      </c>
      <c r="S9" s="6">
        <f t="shared" si="2"/>
        <v>0.90412463610162075</v>
      </c>
      <c r="T9" s="6">
        <f t="shared" si="2"/>
        <v>0.89582953440052226</v>
      </c>
      <c r="U9" s="6">
        <f t="shared" si="4"/>
        <v>0.99407561489092278</v>
      </c>
      <c r="V9" s="6">
        <f t="shared" si="3"/>
        <v>0.99226312216601176</v>
      </c>
      <c r="W9" s="6">
        <f t="shared" si="3"/>
        <v>0.99104925634828056</v>
      </c>
      <c r="X9" s="6">
        <f>(0.8*U6+0.2*V6)*U7*U8*U9</f>
        <v>0.91805893108752357</v>
      </c>
    </row>
    <row r="10" spans="1:24" ht="18.75" customHeight="1" x14ac:dyDescent="0.2">
      <c r="A10" s="21">
        <v>4</v>
      </c>
      <c r="B10" s="42">
        <v>278990</v>
      </c>
      <c r="C10" s="43" t="s">
        <v>3</v>
      </c>
      <c r="D10" s="42">
        <v>361650</v>
      </c>
      <c r="F10" s="29">
        <v>2003.6693989071039</v>
      </c>
      <c r="G10" s="76">
        <v>94.164581671130676</v>
      </c>
      <c r="H10" s="22">
        <v>3.1797965227759977</v>
      </c>
      <c r="K10" s="5">
        <f t="shared" si="1"/>
        <v>2003.6693989071039</v>
      </c>
      <c r="L10" s="23">
        <f t="shared" si="0"/>
        <v>306452.69569865189</v>
      </c>
      <c r="N10" s="18">
        <v>4</v>
      </c>
      <c r="O10" s="6">
        <f>O$2+O$1*Modèles!$I7</f>
        <v>-1.1978203157953442</v>
      </c>
      <c r="P10" s="6">
        <f>P$2+P$1*Modèles!$I7</f>
        <v>-1.0985869247117086</v>
      </c>
      <c r="Q10" s="6">
        <f>Q$2+Q$1*Modèles!$I7</f>
        <v>-1.0509047562068818</v>
      </c>
      <c r="R10" s="6">
        <f t="shared" si="2"/>
        <v>0.91451828446064809</v>
      </c>
      <c r="S10" s="6">
        <f t="shared" si="2"/>
        <v>0.8974426678843368</v>
      </c>
      <c r="T10" s="6">
        <f t="shared" si="2"/>
        <v>0.88813811486412431</v>
      </c>
      <c r="U10" s="6">
        <f t="shared" si="4"/>
        <v>0.99437074699868433</v>
      </c>
      <c r="V10" s="6">
        <f t="shared" si="3"/>
        <v>0.99260946118436166</v>
      </c>
      <c r="W10" s="6">
        <f t="shared" si="3"/>
        <v>0.99141419294515121</v>
      </c>
      <c r="X10" s="6">
        <f>(0.6*U6+0.4*V6)*(0.8*U7+0.2*V7)*U8*U9*U10</f>
        <v>0.91038520435905346</v>
      </c>
    </row>
    <row r="11" spans="1:24" ht="18.75" customHeight="1" x14ac:dyDescent="0.2">
      <c r="A11" s="21">
        <v>5</v>
      </c>
      <c r="B11" s="42">
        <v>293760</v>
      </c>
      <c r="C11" s="43" t="s">
        <v>4</v>
      </c>
      <c r="D11" s="42">
        <v>435880</v>
      </c>
      <c r="F11" s="29">
        <v>2002.6693989071039</v>
      </c>
      <c r="G11" s="76">
        <v>102.41678146536096</v>
      </c>
      <c r="H11" s="22">
        <v>3.4598093913812447</v>
      </c>
      <c r="K11" s="5">
        <f t="shared" si="1"/>
        <v>2002.6693989071039</v>
      </c>
      <c r="L11" s="23">
        <f t="shared" si="0"/>
        <v>324643.80474057997</v>
      </c>
      <c r="N11" s="18">
        <v>5</v>
      </c>
      <c r="O11" s="6">
        <f>O$2+O$1*Modèles!$I8</f>
        <v>-1.1722746460465387</v>
      </c>
      <c r="P11" s="6">
        <f>P$2+P$1*Modèles!$I8</f>
        <v>-1.070540333894495</v>
      </c>
      <c r="Q11" s="6">
        <f>Q$2+Q$1*Modèles!$I8</f>
        <v>-1.0209575675603573</v>
      </c>
      <c r="R11" s="6">
        <f>1/(1+EXP(1.8*O11+0.2*O16))</f>
        <v>0.91175234932857363</v>
      </c>
      <c r="S11" s="6">
        <f>1/(1+EXP(1.8*P11+0.2*P16))</f>
        <v>0.89386467860733532</v>
      </c>
      <c r="T11" s="6">
        <f>1/(1+EXP(1.8*Q11+0.2*Q16))</f>
        <v>0.88401159683833108</v>
      </c>
      <c r="U11" s="6">
        <f t="shared" si="4"/>
        <v>0.99697552779526355</v>
      </c>
      <c r="V11" s="6">
        <f t="shared" si="3"/>
        <v>0.99601312774058715</v>
      </c>
      <c r="W11" s="6">
        <f t="shared" si="3"/>
        <v>0.99535374289569301</v>
      </c>
      <c r="X11" s="6">
        <f>(0.4*U6+0.6*V6)*(0.6*U7+0.4*V7)*(0.8*U8+0.2*V8)*U9*U10*U11</f>
        <v>0.9048686459140689</v>
      </c>
    </row>
    <row r="12" spans="1:24" ht="18.75" customHeight="1" x14ac:dyDescent="0.2">
      <c r="A12" s="21">
        <v>6</v>
      </c>
      <c r="B12" s="42">
        <v>293490</v>
      </c>
      <c r="C12" s="43" t="s">
        <v>5</v>
      </c>
      <c r="D12" s="42">
        <v>393760</v>
      </c>
      <c r="F12" s="29">
        <v>2001.6693989071039</v>
      </c>
      <c r="G12" s="76">
        <v>105.56845400847337</v>
      </c>
      <c r="H12" s="22">
        <v>3.5616330956371458</v>
      </c>
      <c r="K12" s="5">
        <f t="shared" si="1"/>
        <v>2001.6693989071039</v>
      </c>
      <c r="L12" s="23">
        <f t="shared" si="0"/>
        <v>325996.74042555934</v>
      </c>
      <c r="N12" s="18">
        <v>6</v>
      </c>
      <c r="O12" s="6"/>
      <c r="P12" s="6"/>
      <c r="Q12" s="6"/>
      <c r="R12" s="6">
        <f>1/(1+EXP(1.4*O11+0.6*O16))</f>
        <v>0.91023971839334328</v>
      </c>
      <c r="S12" s="6">
        <f>1/(1+EXP(1.4*P11+0.6*P16))</f>
        <v>0.89190577242421798</v>
      </c>
      <c r="T12" s="6">
        <f>1/(1+EXP(1.4*Q11+0.6*Q16))</f>
        <v>0.88175021805972187</v>
      </c>
      <c r="U12" s="6">
        <f t="shared" si="4"/>
        <v>0.99834096294202668</v>
      </c>
      <c r="V12" s="6">
        <f t="shared" si="3"/>
        <v>0.99780849805345329</v>
      </c>
      <c r="W12" s="6">
        <f t="shared" si="3"/>
        <v>0.99744191276822947</v>
      </c>
      <c r="X12" s="6">
        <f>(0.2*U6+0.8*V6)*(0.4*U7+0.6*V7)*(0.6*U8+0.4*V8)*(0.8*U9+0.2*V9)*U10*U11*U12</f>
        <v>0.90028507529515567</v>
      </c>
    </row>
    <row r="13" spans="1:24" ht="18.75" customHeight="1" x14ac:dyDescent="0.2">
      <c r="A13" s="21">
        <v>7</v>
      </c>
      <c r="B13" s="42">
        <v>302060</v>
      </c>
      <c r="C13" s="43" t="s">
        <v>6</v>
      </c>
      <c r="D13" s="42">
        <v>352520</v>
      </c>
      <c r="F13" s="29">
        <v>2000.6693989071039</v>
      </c>
      <c r="G13" s="76">
        <v>112.21981867329727</v>
      </c>
      <c r="H13" s="22">
        <v>3.7836949846423282</v>
      </c>
      <c r="K13" s="5">
        <f t="shared" si="1"/>
        <v>2000.6693989071039</v>
      </c>
      <c r="L13" s="23">
        <f t="shared" si="0"/>
        <v>337354.71176595608</v>
      </c>
      <c r="N13" s="18">
        <v>7</v>
      </c>
      <c r="O13" s="6"/>
      <c r="P13" s="6"/>
      <c r="Q13" s="6"/>
      <c r="R13" s="6">
        <f>1/(1+EXP(O11+O16))</f>
        <v>0.90870375603316877</v>
      </c>
      <c r="S13" s="6">
        <f>1/(1+EXP(P11+P16))</f>
        <v>0.88991516402307114</v>
      </c>
      <c r="T13" s="6">
        <f>1/(1+EXP(Q11+Q16))</f>
        <v>0.87945076236888509</v>
      </c>
      <c r="U13" s="6">
        <f t="shared" si="4"/>
        <v>0.99831257378783078</v>
      </c>
      <c r="V13" s="6">
        <f t="shared" si="3"/>
        <v>0.99776814046652451</v>
      </c>
      <c r="W13" s="6">
        <f t="shared" si="3"/>
        <v>0.9973921688435794</v>
      </c>
      <c r="X13" s="6">
        <f>V6*(0.2*U7+0.8*V7)*(0.4*U8+0.6*V8)*(0.6*U9+0.4*V9)*(0.8*U10+0.2*V10)*U11*U12*U13</f>
        <v>0.89537803820436279</v>
      </c>
    </row>
    <row r="14" spans="1:24" ht="18.75" customHeight="1" x14ac:dyDescent="0.2">
      <c r="A14" s="21">
        <v>8</v>
      </c>
      <c r="B14" s="42">
        <v>315970</v>
      </c>
      <c r="C14" s="43" t="s">
        <v>12</v>
      </c>
      <c r="D14" s="42">
        <v>294280</v>
      </c>
      <c r="F14" s="29">
        <v>1999.6693989071039</v>
      </c>
      <c r="G14" s="76">
        <v>121.250878932544</v>
      </c>
      <c r="H14" s="22">
        <v>4.0886971067815736</v>
      </c>
      <c r="K14" s="5">
        <f t="shared" si="1"/>
        <v>1999.6693989071039</v>
      </c>
      <c r="L14" s="23">
        <f t="shared" si="0"/>
        <v>354583.41881332611</v>
      </c>
      <c r="N14" s="18">
        <v>8</v>
      </c>
      <c r="O14" s="6"/>
      <c r="P14" s="6"/>
      <c r="Q14" s="6"/>
      <c r="R14" s="6">
        <f>1/(1+EXP(0.6*O11+1.4*O16))</f>
        <v>0.90714419175797412</v>
      </c>
      <c r="S14" s="6">
        <f>1/(1+EXP(0.6*P11+1.4*P16))</f>
        <v>0.88789250529530084</v>
      </c>
      <c r="T14" s="6">
        <f>1/(1+EXP(0.6*Q11+1.4*Q16))</f>
        <v>0.87711282379784361</v>
      </c>
      <c r="U14" s="6">
        <f t="shared" si="4"/>
        <v>0.99828374840002565</v>
      </c>
      <c r="V14" s="6">
        <f t="shared" si="3"/>
        <v>0.99772713309139893</v>
      </c>
      <c r="W14" s="6">
        <f t="shared" si="3"/>
        <v>0.99734159242213405</v>
      </c>
      <c r="X14" s="6">
        <f>(0.2*W6+0.8*V6)*V7*(0.2*U8+0.8*V8)*(0.4*U9+0.6*V9)*(0.6*U10+0.4*V10)*(0.8*U11+0.2*V11)*U12*U13*U14</f>
        <v>0.89110201784800747</v>
      </c>
    </row>
    <row r="15" spans="1:24" ht="18.75" customHeight="1" x14ac:dyDescent="0.2">
      <c r="A15" s="21">
        <v>9</v>
      </c>
      <c r="B15" s="42">
        <v>267190</v>
      </c>
      <c r="C15" s="43" t="s">
        <v>13</v>
      </c>
      <c r="D15" s="42">
        <v>230200</v>
      </c>
      <c r="F15" s="29">
        <v>1998.6693989071039</v>
      </c>
      <c r="G15" s="76">
        <v>105.95509761400966</v>
      </c>
      <c r="H15" s="22">
        <v>3.5762286057177635</v>
      </c>
      <c r="K15" s="5">
        <f t="shared" si="1"/>
        <v>1998.6693989071039</v>
      </c>
      <c r="L15" s="23">
        <f t="shared" si="0"/>
        <v>301183.80520458281</v>
      </c>
      <c r="N15" s="18">
        <v>9</v>
      </c>
      <c r="O15" s="6"/>
      <c r="P15" s="6"/>
      <c r="Q15" s="6"/>
      <c r="R15" s="6">
        <f>1/(1+EXP(0.2*O11+1.8*O16))</f>
        <v>0.90556075504171818</v>
      </c>
      <c r="S15" s="6">
        <f>1/(1+EXP(0.2*P11+1.8*P16))</f>
        <v>0.8858374504946922</v>
      </c>
      <c r="T15" s="6">
        <f>1/(1+EXP(0.2*Q11+1.8*Q16))</f>
        <v>0.87473600139103602</v>
      </c>
      <c r="U15" s="6">
        <f t="shared" si="4"/>
        <v>0.99825448177848397</v>
      </c>
      <c r="V15" s="6">
        <f t="shared" si="3"/>
        <v>0.99768546891841914</v>
      </c>
      <c r="W15" s="6">
        <f t="shared" si="3"/>
        <v>0.99729017483005655</v>
      </c>
      <c r="X15" s="6">
        <f>(0.4*W6+0.6*V6)*(0.2*W7+0.8*V7)*V8*(0.2*U9+0.8*V9)*(0.4*U10+0.6*V10)*(0.6*U11+0.4*V11)*(0.8*U12+0.2*V12)*U13*U14*U15</f>
        <v>0.88713269233884573</v>
      </c>
    </row>
    <row r="16" spans="1:24" ht="18.75" customHeight="1" x14ac:dyDescent="0.2">
      <c r="A16" s="21">
        <v>10</v>
      </c>
      <c r="B16" s="42">
        <v>326980</v>
      </c>
      <c r="C16" s="43" t="s">
        <v>14</v>
      </c>
      <c r="D16" s="42">
        <v>160590</v>
      </c>
      <c r="F16" s="29">
        <v>1997.6693989071039</v>
      </c>
      <c r="G16" s="76">
        <v>134.08970988245014</v>
      </c>
      <c r="H16" s="22">
        <v>4.4826340493290981</v>
      </c>
      <c r="K16" s="5">
        <f t="shared" si="1"/>
        <v>1997.6693989071039</v>
      </c>
      <c r="L16" s="23">
        <f t="shared" si="0"/>
        <v>370117.85382588801</v>
      </c>
      <c r="N16" s="18">
        <v>10</v>
      </c>
      <c r="O16" s="6">
        <f>O$2+O$1*Modèles!$I9</f>
        <v>-1.1256348467705592</v>
      </c>
      <c r="P16" s="6">
        <f>P$2+P$1*Modèles!$I9</f>
        <v>-1.0193344982693973</v>
      </c>
      <c r="Q16" s="6">
        <f>Q$2+Q$1*Modèles!$I9</f>
        <v>-0.9662817308691265</v>
      </c>
      <c r="R16" s="6">
        <f>1/(1+EXP(1.8*O16+0.2*O21))</f>
        <v>0.9042625439647386</v>
      </c>
      <c r="S16" s="6">
        <f>1/(1+EXP(1.8*P16+0.2*P21))</f>
        <v>0.88415154586157607</v>
      </c>
      <c r="T16" s="6">
        <f>1/(1+EXP(1.8*Q16+0.2*Q21))</f>
        <v>0.87278509400960369</v>
      </c>
      <c r="U16" s="6">
        <f>R16/R15</f>
        <v>0.99856640090711557</v>
      </c>
      <c r="V16" s="6">
        <f>S16/S15</f>
        <v>0.99809682393516486</v>
      </c>
      <c r="W16" s="6">
        <f>T16/T15</f>
        <v>0.99776971865988151</v>
      </c>
      <c r="X16" s="6">
        <f>(0.6*W6+0.4*V6)*(0.4*W7+0.6*V7)*(0.2*W8+0.8*V8)*V9*(0.2*U10+0.8*V10)*(0.4*U11+0.6*V11)*(0.6*U12+0.4*V12)*(0.8*U13+0.2*V13)*U14*U15*U16</f>
        <v>0.88344833036295223</v>
      </c>
    </row>
    <row r="17" spans="1:38" ht="18.75" customHeight="1" x14ac:dyDescent="0.2">
      <c r="A17" s="21">
        <v>11</v>
      </c>
      <c r="B17" s="42">
        <v>280260</v>
      </c>
      <c r="C17" s="19"/>
      <c r="D17" s="19"/>
      <c r="F17" s="29">
        <v>1996.6693989071039</v>
      </c>
      <c r="G17" s="76">
        <v>118.94155004078286</v>
      </c>
      <c r="H17" s="22">
        <v>3.8910742709865542</v>
      </c>
      <c r="K17" s="5">
        <f t="shared" si="1"/>
        <v>1996.6693989071039</v>
      </c>
      <c r="L17" s="23">
        <f t="shared" si="0"/>
        <v>318450.8555535053</v>
      </c>
      <c r="N17" s="18">
        <v>11</v>
      </c>
      <c r="O17" s="6"/>
      <c r="P17" s="6"/>
      <c r="Q17" s="6"/>
      <c r="R17" s="6">
        <f>1/(1+EXP(1.4*O16+0.6*O21))</f>
        <v>0.9032606581608692</v>
      </c>
      <c r="S17" s="6">
        <f>1/(1+EXP(1.4*P16+0.6*P21))</f>
        <v>0.88284985307798891</v>
      </c>
      <c r="T17" s="6">
        <f>1/(1+EXP(1.4*Q16+0.6*Q21))</f>
        <v>0.87127817910148142</v>
      </c>
      <c r="U17" s="6">
        <f t="shared" si="4"/>
        <v>0.99889204102220508</v>
      </c>
      <c r="V17" s="6">
        <f t="shared" si="3"/>
        <v>0.99852774924199372</v>
      </c>
      <c r="W17" s="6">
        <f t="shared" si="3"/>
        <v>0.99827344105844029</v>
      </c>
      <c r="X17" s="6">
        <f>(0.8*W6+0.2*V6)*(0.6*W7+0.4*V7)*(0.4*W8+0.6*V8)*(0.2*W9+0.8*V9)*V10*(0.2*U11+0.8*V11)*(0.4*U12+0.6*V12)*(0.6*U13+0.4*V13)*(0.8*U14+0.2*V14)*U15*U16*U17</f>
        <v>0.88007300062948468</v>
      </c>
    </row>
    <row r="18" spans="1:38" ht="18.75" customHeight="1" x14ac:dyDescent="0.2">
      <c r="A18" s="21">
        <v>12</v>
      </c>
      <c r="B18" s="42">
        <v>354120</v>
      </c>
      <c r="C18" s="19"/>
      <c r="D18" s="19"/>
      <c r="F18" s="29">
        <v>1995.6693989071039</v>
      </c>
      <c r="G18" s="76">
        <v>155.68358840620834</v>
      </c>
      <c r="H18" s="22">
        <v>4.9778245810782122</v>
      </c>
      <c r="K18" s="5">
        <f t="shared" si="1"/>
        <v>1995.6693989071039</v>
      </c>
      <c r="L18" s="23">
        <f t="shared" si="0"/>
        <v>403924.13915670617</v>
      </c>
      <c r="N18" s="18">
        <v>12</v>
      </c>
      <c r="O18" s="6"/>
      <c r="P18" s="6"/>
      <c r="Q18" s="6"/>
      <c r="R18" s="6">
        <f>1/(1+EXP(O16+O21))</f>
        <v>0.90224942108185491</v>
      </c>
      <c r="S18" s="6">
        <f>1/(1+EXP(P16+P21))</f>
        <v>0.88153549394870201</v>
      </c>
      <c r="T18" s="6">
        <f>1/(1+EXP(Q16+Q21))</f>
        <v>0.86975607786883968</v>
      </c>
      <c r="U18" s="6">
        <f t="shared" si="4"/>
        <v>0.99888045928948876</v>
      </c>
      <c r="V18" s="6">
        <f t="shared" si="3"/>
        <v>0.99851123141188225</v>
      </c>
      <c r="W18" s="6">
        <f t="shared" si="3"/>
        <v>0.99825302495901891</v>
      </c>
      <c r="X18" s="6">
        <f>W6*(0.8*W7+0.2*V7)*(0.6*W8+0.4*V8)*(0.4*W9+0.6*V9)*(0.2*W10+0.8*V10)*V11*(0.2*U12+0.8*V12)*(0.4*U13+0.6*V13)*(0.6*U14+0.4*V14)*(0.8*U15+0.2*V15)*U16*U17*U18</f>
        <v>0.87669927511466661</v>
      </c>
    </row>
    <row r="19" spans="1:38" ht="18.75" customHeight="1" x14ac:dyDescent="0.2">
      <c r="A19" s="21">
        <v>13</v>
      </c>
      <c r="B19" s="42">
        <v>356920</v>
      </c>
      <c r="C19" s="19"/>
      <c r="D19" s="19"/>
      <c r="F19" s="29">
        <v>1994.6693989071039</v>
      </c>
      <c r="G19" s="76">
        <v>162.57625333399886</v>
      </c>
      <c r="H19" s="22">
        <v>5.0739594790706324</v>
      </c>
      <c r="K19" s="5">
        <f t="shared" si="1"/>
        <v>1994.6693989071039</v>
      </c>
      <c r="L19" s="23">
        <f t="shared" si="0"/>
        <v>408337.37070981413</v>
      </c>
      <c r="N19" s="18">
        <v>13</v>
      </c>
      <c r="O19" s="6"/>
      <c r="P19" s="6"/>
      <c r="Q19" s="6"/>
      <c r="R19" s="6">
        <f>1/(1+EXP(0.6*O16+1.4*O21))</f>
        <v>0.90122876922473261</v>
      </c>
      <c r="S19" s="6">
        <f>1/(1+EXP(0.6*P16+1.4*P21))</f>
        <v>0.88020838934242585</v>
      </c>
      <c r="T19" s="6">
        <f>1/(1+EXP(0.6*Q16+1.4*Q21))</f>
        <v>0.86821870046879135</v>
      </c>
      <c r="U19" s="6">
        <f t="shared" si="4"/>
        <v>0.99886876972899752</v>
      </c>
      <c r="V19" s="6">
        <f t="shared" si="3"/>
        <v>0.99849455340665683</v>
      </c>
      <c r="W19" s="6">
        <f t="shared" si="3"/>
        <v>0.99823240395880264</v>
      </c>
      <c r="X19" s="6">
        <f>W6*W7*(0.8*W8+0.2*V8)*(0.6*W9+0.4*V9)*(0.4*W10+0.6*V10)*(0.2*W11+0.8*V11)*V12*(0.2*U13+0.8*V13)*(0.4*U14+0.6*V14)*(0.6*U15+0.4*V15)*(0.8*U16+0.2*V16)*U17*U18*U19</f>
        <v>0.87408115348238846</v>
      </c>
    </row>
    <row r="20" spans="1:38" ht="18.75" customHeight="1" x14ac:dyDescent="0.2">
      <c r="A20" s="45">
        <v>14</v>
      </c>
      <c r="B20" s="46">
        <v>354830</v>
      </c>
      <c r="C20" s="47"/>
      <c r="D20" s="47"/>
      <c r="F20" s="48">
        <v>1993.6693989071039</v>
      </c>
      <c r="G20" s="77">
        <v>167.56161882954632</v>
      </c>
      <c r="H20" s="49">
        <v>5.0974943749004415</v>
      </c>
      <c r="K20" s="119">
        <f t="shared" si="1"/>
        <v>1993.6693989071039</v>
      </c>
      <c r="L20" s="50">
        <f t="shared" si="0"/>
        <v>406975.97173139127</v>
      </c>
      <c r="N20" s="18">
        <v>14</v>
      </c>
      <c r="O20" s="6"/>
      <c r="P20" s="6"/>
      <c r="Q20" s="6"/>
      <c r="R20" s="6">
        <f>1/(1+EXP(0.2*O16+1.8*O21))</f>
        <v>0.90019863915946818</v>
      </c>
      <c r="S20" s="6">
        <f>1/(1+EXP(0.2*P16+1.8*P21))</f>
        <v>0.87886846064403978</v>
      </c>
      <c r="T20" s="6">
        <f>1/(1+EXP(0.2*Q16+1.8*Q21))</f>
        <v>0.8666659580596302</v>
      </c>
      <c r="U20" s="6">
        <f t="shared" si="4"/>
        <v>0.99885697161426557</v>
      </c>
      <c r="V20" s="6">
        <f t="shared" si="3"/>
        <v>0.99847771423834408</v>
      </c>
      <c r="W20" s="6">
        <f t="shared" si="3"/>
        <v>0.99821157686614814</v>
      </c>
      <c r="X20" s="6">
        <f>W6*W7*W8*(0.8*W9+0.2*V9)*(0.6*W10+0.4*V10)*(0.4*W11+0.6*V11)*(0.2*W12+0.8*V12)*V13*(0.2*U14+0.8*V14)*(0.4*U15+0.6*V15)*(0.6*U16+0.4*V16)*(0.8*U17+0.2*V17)*U18*U19*U20</f>
        <v>0.8718696548360152</v>
      </c>
    </row>
    <row r="21" spans="1:38" ht="18.75" customHeight="1" x14ac:dyDescent="0.2">
      <c r="K21" s="18"/>
      <c r="L21" s="19"/>
      <c r="N21" s="52">
        <v>15</v>
      </c>
      <c r="O21" s="53">
        <f>O$2+O$1*Modèles!$I10</f>
        <v>-1.0968370338296407</v>
      </c>
      <c r="P21" s="53">
        <f>P$2+P$1*Modèles!$I10</f>
        <v>-0.98771737944156268</v>
      </c>
      <c r="Q21" s="53">
        <f>Q$2+Q$1*Modèles!$I10</f>
        <v>-0.93252205475848782</v>
      </c>
      <c r="R21" s="53"/>
      <c r="S21" s="53"/>
      <c r="T21" s="53"/>
      <c r="U21" s="53"/>
      <c r="V21" s="53"/>
      <c r="W21" s="53"/>
      <c r="X21" s="54"/>
    </row>
    <row r="22" spans="1:38" ht="18.75" customHeight="1" x14ac:dyDescent="0.2">
      <c r="B22" s="6"/>
      <c r="C22" s="6"/>
      <c r="D22" s="6"/>
      <c r="K22" s="18"/>
      <c r="L22" s="19"/>
      <c r="N22" s="18"/>
      <c r="O22" s="90"/>
      <c r="P22" s="90"/>
      <c r="Q22" s="90"/>
      <c r="R22" s="90"/>
      <c r="S22" s="90"/>
      <c r="T22" s="90"/>
      <c r="U22" s="90"/>
      <c r="V22" s="90"/>
      <c r="W22" s="90"/>
      <c r="X22" s="98"/>
    </row>
    <row r="23" spans="1:38" ht="18.75" customHeight="1" x14ac:dyDescent="0.3">
      <c r="B23" s="6"/>
      <c r="C23" s="6"/>
      <c r="D23" s="6"/>
      <c r="F23" s="178" t="s">
        <v>92</v>
      </c>
      <c r="G23" s="178"/>
      <c r="H23" s="178"/>
      <c r="K23" s="148" t="s">
        <v>94</v>
      </c>
      <c r="L23" s="30"/>
      <c r="M23" s="30"/>
      <c r="N23" s="30"/>
      <c r="O23" s="30"/>
      <c r="P23" s="30"/>
      <c r="Q23" s="30"/>
      <c r="R23" s="30"/>
      <c r="S23" s="30"/>
      <c r="T23" s="30"/>
      <c r="U23" s="30"/>
      <c r="V23" s="30"/>
      <c r="W23" s="30"/>
      <c r="X23" s="30"/>
      <c r="Y23" s="30"/>
      <c r="AD23" s="6"/>
      <c r="AE23" s="6"/>
      <c r="AF23" s="6"/>
      <c r="AG23" s="6"/>
      <c r="AH23" s="6"/>
      <c r="AI23" s="6"/>
      <c r="AJ23" s="6"/>
      <c r="AK23" s="6"/>
      <c r="AL23" s="6"/>
    </row>
    <row r="24" spans="1:38" ht="18.75" customHeight="1" x14ac:dyDescent="0.2">
      <c r="B24" s="6"/>
      <c r="C24" s="6"/>
      <c r="D24" s="6"/>
      <c r="F24" s="51" t="s">
        <v>70</v>
      </c>
      <c r="G24" s="31">
        <f>IF(Modèles!$D$46=1,Modèles!$C$29,1900+YEARFRAC(DATE(1900,1,1),Introduction!E33,1))</f>
        <v>2007.4989606043705</v>
      </c>
      <c r="H24" s="31">
        <f>IF(Modèles!$D$46=1,Modèles!$C$29-15,1900+YEARFRAC(DATE(1900,1,1),Introduction!F33,1))</f>
        <v>1997.4989663072024</v>
      </c>
      <c r="K24" s="51" t="s">
        <v>70</v>
      </c>
      <c r="L24" s="31">
        <f>Modèles!C29-0.5</f>
        <v>2007.6693989071039</v>
      </c>
      <c r="M24" s="31">
        <f>L24-1</f>
        <v>2006.6693989071039</v>
      </c>
      <c r="N24" s="31">
        <f t="shared" ref="N24:Z24" si="5">M24-1</f>
        <v>2005.6693989071039</v>
      </c>
      <c r="O24" s="31">
        <f t="shared" si="5"/>
        <v>2004.6693989071039</v>
      </c>
      <c r="P24" s="31">
        <f t="shared" si="5"/>
        <v>2003.6693989071039</v>
      </c>
      <c r="Q24" s="31">
        <f t="shared" si="5"/>
        <v>2002.6693989071039</v>
      </c>
      <c r="R24" s="31">
        <f t="shared" si="5"/>
        <v>2001.6693989071039</v>
      </c>
      <c r="S24" s="31">
        <f t="shared" si="5"/>
        <v>2000.6693989071039</v>
      </c>
      <c r="T24" s="31">
        <f t="shared" si="5"/>
        <v>1999.6693989071039</v>
      </c>
      <c r="U24" s="31">
        <f t="shared" si="5"/>
        <v>1998.6693989071039</v>
      </c>
      <c r="V24" s="31">
        <f t="shared" si="5"/>
        <v>1997.6693989071039</v>
      </c>
      <c r="W24" s="31">
        <f t="shared" si="5"/>
        <v>1996.6693989071039</v>
      </c>
      <c r="X24" s="31">
        <f t="shared" si="5"/>
        <v>1995.6693989071039</v>
      </c>
      <c r="Y24" s="31">
        <f t="shared" si="5"/>
        <v>1994.6693989071039</v>
      </c>
      <c r="Z24" s="31">
        <f t="shared" si="5"/>
        <v>1993.6693989071039</v>
      </c>
    </row>
    <row r="25" spans="1:38" ht="18.75" customHeight="1" x14ac:dyDescent="0.2">
      <c r="B25" s="6"/>
      <c r="C25" s="6"/>
      <c r="D25" s="6"/>
      <c r="F25" s="40" t="s">
        <v>11</v>
      </c>
      <c r="G25" s="6">
        <f>IF(Modèles!$D$42=1,Introduction!E34/SUM(Introduction!E$34:E$41)/5,EXP(-EXP(-(Introduction!E$34+Introduction!E$35*Modèles!$M3)))/5)</f>
        <v>0</v>
      </c>
      <c r="H25" s="6">
        <f>IF(Modèles!$D$46=1,G25,IF(Modèles!$D$42=1,Introduction!F34/SUM(Introduction!F$34:F$41)/5,EXP(-EXP(-(Introduction!F$34+Introduction!F$35*Modèles!$M3)))/5))</f>
        <v>0</v>
      </c>
      <c r="K25" s="15" t="s">
        <v>11</v>
      </c>
      <c r="L25" s="6">
        <f>$G25+(L$24-$G$24)*($H25-$G25)/($H$24-$G$24)</f>
        <v>0</v>
      </c>
      <c r="M25" s="6">
        <f t="shared" ref="L25:Z32" si="6">$G25+(M$24-$G$24)*($H25-$G25)/($H$24-$G$24)</f>
        <v>0</v>
      </c>
      <c r="N25" s="6">
        <f t="shared" si="6"/>
        <v>0</v>
      </c>
      <c r="O25" s="6">
        <f t="shared" si="6"/>
        <v>0</v>
      </c>
      <c r="P25" s="6">
        <f t="shared" si="6"/>
        <v>0</v>
      </c>
      <c r="Q25" s="6">
        <f t="shared" si="6"/>
        <v>0</v>
      </c>
      <c r="R25" s="6">
        <f t="shared" si="6"/>
        <v>0</v>
      </c>
      <c r="S25" s="6">
        <f t="shared" si="6"/>
        <v>0</v>
      </c>
      <c r="T25" s="6">
        <f t="shared" si="6"/>
        <v>0</v>
      </c>
      <c r="U25" s="6">
        <f t="shared" si="6"/>
        <v>0</v>
      </c>
      <c r="V25" s="6">
        <f t="shared" si="6"/>
        <v>0</v>
      </c>
      <c r="W25" s="6">
        <f t="shared" si="6"/>
        <v>0</v>
      </c>
      <c r="X25" s="6">
        <f t="shared" si="6"/>
        <v>0</v>
      </c>
      <c r="Y25" s="6">
        <f t="shared" si="6"/>
        <v>0</v>
      </c>
      <c r="Z25" s="6">
        <f t="shared" si="6"/>
        <v>0</v>
      </c>
    </row>
    <row r="26" spans="1:38" ht="18.75" customHeight="1" x14ac:dyDescent="0.2">
      <c r="B26" s="6"/>
      <c r="C26" s="6"/>
      <c r="D26" s="6"/>
      <c r="F26" s="40" t="s">
        <v>0</v>
      </c>
      <c r="G26" s="6">
        <f>IF(Modèles!$D$42=1,Introduction!E35/SUM(Introduction!E$34:E$41)/5,(EXP(-EXP(-(Introduction!E$34+Introduction!E$35*Modèles!$M4)))-EXP(-EXP(-(Introduction!E$34+Introduction!E$35*Modèles!$M3))))/5)</f>
        <v>1.2361925510464227E-2</v>
      </c>
      <c r="H26" s="6">
        <f>IF(Modèles!$D$46=1,G26,IF(Modèles!$D$42=1,Introduction!F35/SUM(Introduction!F$34:F$41)/5,(EXP(-EXP(-(Introduction!F$34+Introduction!F$35*Modèles!$M4)))-EXP(-EXP(-(Introduction!F$34+Introduction!F$35*Modèles!$M3))))/5))</f>
        <v>1.4930121170961864E-2</v>
      </c>
      <c r="K26" s="15" t="s">
        <v>0</v>
      </c>
      <c r="L26" s="6">
        <f t="shared" si="6"/>
        <v>1.2318153594555596E-2</v>
      </c>
      <c r="M26" s="6">
        <f t="shared" si="6"/>
        <v>1.2574973307065326E-2</v>
      </c>
      <c r="N26" s="6">
        <f t="shared" si="6"/>
        <v>1.2831793019575054E-2</v>
      </c>
      <c r="O26" s="6">
        <f t="shared" si="6"/>
        <v>1.3088612732084783E-2</v>
      </c>
      <c r="P26" s="6">
        <f t="shared" si="6"/>
        <v>1.3345432444594511E-2</v>
      </c>
      <c r="Q26" s="6">
        <f t="shared" si="6"/>
        <v>1.3602252157104242E-2</v>
      </c>
      <c r="R26" s="6">
        <f t="shared" si="6"/>
        <v>1.385907186961397E-2</v>
      </c>
      <c r="S26" s="6">
        <f t="shared" si="6"/>
        <v>1.4115891582123698E-2</v>
      </c>
      <c r="T26" s="6">
        <f t="shared" si="6"/>
        <v>1.4372711294633427E-2</v>
      </c>
      <c r="U26" s="6">
        <f t="shared" si="6"/>
        <v>1.4629531007143157E-2</v>
      </c>
      <c r="V26" s="6">
        <f t="shared" si="6"/>
        <v>1.4886350719652885E-2</v>
      </c>
      <c r="W26" s="6">
        <f t="shared" si="6"/>
        <v>1.5143170432162614E-2</v>
      </c>
      <c r="X26" s="6">
        <f t="shared" si="6"/>
        <v>1.5399990144672342E-2</v>
      </c>
      <c r="Y26" s="6">
        <f t="shared" si="6"/>
        <v>1.5656809857182073E-2</v>
      </c>
      <c r="Z26" s="6">
        <f t="shared" si="6"/>
        <v>1.5913629569691799E-2</v>
      </c>
    </row>
    <row r="27" spans="1:38" ht="18.75" customHeight="1" x14ac:dyDescent="0.2">
      <c r="B27" s="6"/>
      <c r="C27" s="6"/>
      <c r="D27" s="6"/>
      <c r="F27" s="40" t="s">
        <v>1</v>
      </c>
      <c r="G27" s="6">
        <f>IF(Modèles!$D$42=1,Introduction!E36/SUM(Introduction!E$34:E$41)/5,(EXP(-EXP(-(Introduction!E$34+Introduction!E$35*Modèles!$M5)))-EXP(-EXP(-(Introduction!E$34+Introduction!E$35*Modèles!$M4))))/5)</f>
        <v>4.5751964215356801E-2</v>
      </c>
      <c r="H27" s="6">
        <f>IF(Modèles!$D$46=1,G27,IF(Modèles!$D$42=1,Introduction!F36/SUM(Introduction!F$34:F$41)/5,(EXP(-EXP(-(Introduction!F$34+Introduction!F$35*Modèles!$M5)))-EXP(-EXP(-(Introduction!F$34+Introduction!F$35*Modèles!$M4))))/5))</f>
        <v>5.4880437502233981E-2</v>
      </c>
      <c r="K27" s="15" t="s">
        <v>1</v>
      </c>
      <c r="L27" s="6">
        <f t="shared" si="6"/>
        <v>4.5596379977273498E-2</v>
      </c>
      <c r="M27" s="6">
        <f t="shared" si="6"/>
        <v>4.6509227826543001E-2</v>
      </c>
      <c r="N27" s="6">
        <f t="shared" si="6"/>
        <v>4.7422075675812504E-2</v>
      </c>
      <c r="O27" s="6">
        <f t="shared" si="6"/>
        <v>4.8334923525082008E-2</v>
      </c>
      <c r="P27" s="6">
        <f t="shared" si="6"/>
        <v>4.9247771374351504E-2</v>
      </c>
      <c r="Q27" s="6">
        <f t="shared" si="6"/>
        <v>5.0160619223621007E-2</v>
      </c>
      <c r="R27" s="6">
        <f t="shared" si="6"/>
        <v>5.107346707289051E-2</v>
      </c>
      <c r="S27" s="6">
        <f t="shared" si="6"/>
        <v>5.1986314922160014E-2</v>
      </c>
      <c r="T27" s="6">
        <f t="shared" si="6"/>
        <v>5.2899162771429517E-2</v>
      </c>
      <c r="U27" s="6">
        <f t="shared" si="6"/>
        <v>5.381201062069902E-2</v>
      </c>
      <c r="V27" s="6">
        <f t="shared" si="6"/>
        <v>5.4724858469968524E-2</v>
      </c>
      <c r="W27" s="6">
        <f t="shared" si="6"/>
        <v>5.5637706319238027E-2</v>
      </c>
      <c r="X27" s="6">
        <f t="shared" si="6"/>
        <v>5.655055416850753E-2</v>
      </c>
      <c r="Y27" s="6">
        <f t="shared" si="6"/>
        <v>5.7463402017777034E-2</v>
      </c>
      <c r="Z27" s="6">
        <f t="shared" si="6"/>
        <v>5.8376249867046537E-2</v>
      </c>
    </row>
    <row r="28" spans="1:38" ht="18.75" customHeight="1" x14ac:dyDescent="0.2">
      <c r="B28" s="6"/>
      <c r="C28" s="6"/>
      <c r="D28" s="6"/>
      <c r="F28" s="40" t="s">
        <v>2</v>
      </c>
      <c r="G28" s="6">
        <f>IF(Modèles!$D$42=1,Introduction!E37/SUM(Introduction!E$34:E$41)/5,(EXP(-EXP(-(Introduction!E$34+Introduction!E$35*Modèles!$M6)))-EXP(-EXP(-(Introduction!E$34+Introduction!E$35*Modèles!$M5))))/5)</f>
        <v>4.9680163163139959E-2</v>
      </c>
      <c r="H28" s="6">
        <f>IF(Modèles!$D$46=1,G28,IF(Modèles!$D$42=1,Introduction!F37/SUM(Introduction!F$34:F$41)/5,(EXP(-EXP(-(Introduction!F$34+Introduction!F$35*Modèles!$M6)))-EXP(-EXP(-(Introduction!F$34+Introduction!F$35*Modèles!$M5))))/5))</f>
        <v>5.2984594488329706E-2</v>
      </c>
      <c r="K28" s="15" t="s">
        <v>2</v>
      </c>
      <c r="L28" s="6">
        <f t="shared" si="6"/>
        <v>4.9623842964365061E-2</v>
      </c>
      <c r="M28" s="6">
        <f t="shared" si="6"/>
        <v>4.9954286285330309E-2</v>
      </c>
      <c r="N28" s="6">
        <f t="shared" si="6"/>
        <v>5.0284729606295556E-2</v>
      </c>
      <c r="O28" s="6">
        <f t="shared" si="6"/>
        <v>5.0615172927260803E-2</v>
      </c>
      <c r="P28" s="6">
        <f t="shared" si="6"/>
        <v>5.094561624822605E-2</v>
      </c>
      <c r="Q28" s="6">
        <f t="shared" si="6"/>
        <v>5.1276059569191297E-2</v>
      </c>
      <c r="R28" s="6">
        <f t="shared" si="6"/>
        <v>5.1606502890156544E-2</v>
      </c>
      <c r="S28" s="6">
        <f t="shared" si="6"/>
        <v>5.1936946211121784E-2</v>
      </c>
      <c r="T28" s="6">
        <f t="shared" si="6"/>
        <v>5.2267389532087032E-2</v>
      </c>
      <c r="U28" s="6">
        <f t="shared" si="6"/>
        <v>5.2597832853052279E-2</v>
      </c>
      <c r="V28" s="6">
        <f t="shared" si="6"/>
        <v>5.2928276174017526E-2</v>
      </c>
      <c r="W28" s="6">
        <f t="shared" si="6"/>
        <v>5.3258719494982773E-2</v>
      </c>
      <c r="X28" s="6">
        <f t="shared" si="6"/>
        <v>5.358916281594802E-2</v>
      </c>
      <c r="Y28" s="6">
        <f t="shared" si="6"/>
        <v>5.3919606136913267E-2</v>
      </c>
      <c r="Z28" s="6">
        <f t="shared" si="6"/>
        <v>5.4250049457878514E-2</v>
      </c>
    </row>
    <row r="29" spans="1:38" ht="18.75" customHeight="1" x14ac:dyDescent="0.2">
      <c r="F29" s="40" t="s">
        <v>3</v>
      </c>
      <c r="G29" s="6">
        <f>IF(Modèles!$D$42=1,Introduction!E38/SUM(Introduction!E$34:E$41)/5,(EXP(-EXP(-(Introduction!E$34+Introduction!E$35*Modèles!$M7)))-EXP(-EXP(-(Introduction!E$34+Introduction!E$35*Modèles!$M6))))/5)</f>
        <v>4.2548033466984957E-2</v>
      </c>
      <c r="H29" s="6">
        <f>IF(Modèles!$D$46=1,G29,IF(Modèles!$D$42=1,Introduction!F38/SUM(Introduction!F$34:F$41)/5,(EXP(-EXP(-(Introduction!F$34+Introduction!F$35*Modèles!$M7)))-EXP(-EXP(-(Introduction!F$34+Introduction!F$35*Modèles!$M6))))/5))</f>
        <v>3.9976409193265901E-2</v>
      </c>
      <c r="K29" s="15" t="s">
        <v>3</v>
      </c>
      <c r="L29" s="6">
        <f t="shared" si="6"/>
        <v>4.2591863819628734E-2</v>
      </c>
      <c r="M29" s="6">
        <f t="shared" si="6"/>
        <v>4.2334701245601333E-2</v>
      </c>
      <c r="N29" s="6">
        <f t="shared" si="6"/>
        <v>4.2077538671573933E-2</v>
      </c>
      <c r="O29" s="6">
        <f t="shared" si="6"/>
        <v>4.1820376097546533E-2</v>
      </c>
      <c r="P29" s="6">
        <f t="shared" si="6"/>
        <v>4.1563213523519139E-2</v>
      </c>
      <c r="Q29" s="6">
        <f t="shared" si="6"/>
        <v>4.1306050949491739E-2</v>
      </c>
      <c r="R29" s="6">
        <f t="shared" si="6"/>
        <v>4.1048888375464339E-2</v>
      </c>
      <c r="S29" s="6">
        <f t="shared" si="6"/>
        <v>4.0791725801436939E-2</v>
      </c>
      <c r="T29" s="6">
        <f t="shared" si="6"/>
        <v>4.0534563227409538E-2</v>
      </c>
      <c r="U29" s="6">
        <f t="shared" si="6"/>
        <v>4.0277400653382138E-2</v>
      </c>
      <c r="V29" s="6">
        <f t="shared" si="6"/>
        <v>4.0020238079354745E-2</v>
      </c>
      <c r="W29" s="6">
        <f t="shared" si="6"/>
        <v>3.9763075505327344E-2</v>
      </c>
      <c r="X29" s="6">
        <f t="shared" si="6"/>
        <v>3.9505912931299944E-2</v>
      </c>
      <c r="Y29" s="6">
        <f t="shared" si="6"/>
        <v>3.9248750357272544E-2</v>
      </c>
      <c r="Z29" s="6">
        <f t="shared" si="6"/>
        <v>3.8991587783245144E-2</v>
      </c>
    </row>
    <row r="30" spans="1:38" ht="18.75" customHeight="1" x14ac:dyDescent="0.2">
      <c r="F30" s="40" t="s">
        <v>4</v>
      </c>
      <c r="G30" s="6">
        <f>IF(Modèles!$D$42=1,Introduction!E39/SUM(Introduction!E$34:E$41)/5,(EXP(-EXP(-(Introduction!E$34+Introduction!E$35*Modèles!$M8)))-EXP(-EXP(-(Introduction!E$34+Introduction!E$35*Modèles!$M7))))/5)</f>
        <v>3.0877928940598421E-2</v>
      </c>
      <c r="H30" s="6">
        <f>IF(Modèles!$D$46=1,G30,IF(Modèles!$D$42=1,Introduction!F39/SUM(Introduction!F$34:F$41)/5,(EXP(-EXP(-(Introduction!F$34+Introduction!F$35*Modèles!$M8)))-EXP(-EXP(-(Introduction!F$34+Introduction!F$35*Modèles!$M7))))/5))</f>
        <v>2.5308288951638853E-2</v>
      </c>
      <c r="K30" s="15" t="s">
        <v>4</v>
      </c>
      <c r="L30" s="6">
        <f t="shared" si="6"/>
        <v>3.0972856993389714E-2</v>
      </c>
      <c r="M30" s="6">
        <f t="shared" si="6"/>
        <v>3.0415892676866368E-2</v>
      </c>
      <c r="N30" s="6">
        <f t="shared" si="6"/>
        <v>2.9858928360343023E-2</v>
      </c>
      <c r="O30" s="6">
        <f t="shared" si="6"/>
        <v>2.930196404381968E-2</v>
      </c>
      <c r="P30" s="6">
        <f t="shared" si="6"/>
        <v>2.8744999727296335E-2</v>
      </c>
      <c r="Q30" s="6">
        <f t="shared" si="6"/>
        <v>2.8188035410772989E-2</v>
      </c>
      <c r="R30" s="6">
        <f t="shared" si="6"/>
        <v>2.7631071094249643E-2</v>
      </c>
      <c r="S30" s="6">
        <f t="shared" si="6"/>
        <v>2.7074106777726301E-2</v>
      </c>
      <c r="T30" s="6">
        <f t="shared" si="6"/>
        <v>2.6517142461202955E-2</v>
      </c>
      <c r="U30" s="6">
        <f t="shared" si="6"/>
        <v>2.5960178144679609E-2</v>
      </c>
      <c r="V30" s="6">
        <f t="shared" si="6"/>
        <v>2.5403213828156267E-2</v>
      </c>
      <c r="W30" s="6">
        <f t="shared" si="6"/>
        <v>2.4846249511632921E-2</v>
      </c>
      <c r="X30" s="6">
        <f t="shared" si="6"/>
        <v>2.4289285195109575E-2</v>
      </c>
      <c r="Y30" s="6">
        <f t="shared" si="6"/>
        <v>2.3732320878586233E-2</v>
      </c>
      <c r="Z30" s="6">
        <f t="shared" si="6"/>
        <v>2.3175356562062887E-2</v>
      </c>
    </row>
    <row r="31" spans="1:38" ht="18.75" customHeight="1" x14ac:dyDescent="0.3">
      <c r="A31" s="122" t="s">
        <v>27</v>
      </c>
      <c r="B31" s="6">
        <f>IF(ISBLANK(Introduction!D26),1,Introduction!D26)</f>
        <v>1</v>
      </c>
      <c r="C31" s="6">
        <f>IF(ISBLANK(Introduction!E26),1,Introduction!E26)</f>
        <v>0.96899999999999997</v>
      </c>
      <c r="D31" s="6">
        <f>IF(ISBLANK(Introduction!F26),1,Introduction!F26)</f>
        <v>0.86729999999999996</v>
      </c>
      <c r="F31" s="40" t="s">
        <v>5</v>
      </c>
      <c r="G31" s="6">
        <f>IF(Modèles!$D$42=1,Introduction!E40/SUM(Introduction!E$34:E$41)/5,(EXP(-EXP(-(Introduction!E$34+Introduction!E$35*Modèles!$M9)))-EXP(-EXP(-(Introduction!E$34+Introduction!E$35*Modèles!$M8))))/5)</f>
        <v>1.566991911372749E-2</v>
      </c>
      <c r="H31" s="6">
        <f>IF(Modèles!$D$46=1,G31,IF(Modèles!$D$42=1,Introduction!F40/SUM(Introduction!F$34:F$41)/5,(EXP(-EXP(-(Introduction!F$34+Introduction!F$35*Modèles!$M9)))-EXP(-EXP(-(Introduction!F$34+Introduction!F$35*Modèles!$M8))))/5))</f>
        <v>1.0764199163598671E-2</v>
      </c>
      <c r="K31" s="15" t="s">
        <v>5</v>
      </c>
      <c r="L31" s="6">
        <f t="shared" si="6"/>
        <v>1.5753531419608703E-2</v>
      </c>
      <c r="M31" s="6">
        <f t="shared" si="6"/>
        <v>1.5262959144830699E-2</v>
      </c>
      <c r="N31" s="6">
        <f t="shared" si="6"/>
        <v>1.4772386870052695E-2</v>
      </c>
      <c r="O31" s="6">
        <f t="shared" si="6"/>
        <v>1.4281814595274691E-2</v>
      </c>
      <c r="P31" s="6">
        <f t="shared" si="6"/>
        <v>1.3791242320496687E-2</v>
      </c>
      <c r="Q31" s="6">
        <f t="shared" si="6"/>
        <v>1.3300670045718681E-2</v>
      </c>
      <c r="R31" s="6">
        <f t="shared" si="6"/>
        <v>1.2810097770940677E-2</v>
      </c>
      <c r="S31" s="6">
        <f t="shared" si="6"/>
        <v>1.2319525496162673E-2</v>
      </c>
      <c r="T31" s="6">
        <f t="shared" si="6"/>
        <v>1.1828953221384669E-2</v>
      </c>
      <c r="U31" s="6">
        <f t="shared" si="6"/>
        <v>1.1338380946606663E-2</v>
      </c>
      <c r="V31" s="6">
        <f t="shared" si="6"/>
        <v>1.0847808671828659E-2</v>
      </c>
      <c r="W31" s="6">
        <f t="shared" si="6"/>
        <v>1.0357236397050655E-2</v>
      </c>
      <c r="X31" s="6">
        <f t="shared" si="6"/>
        <v>9.866664122272651E-3</v>
      </c>
      <c r="Y31" s="6">
        <f t="shared" si="6"/>
        <v>9.376091847494647E-3</v>
      </c>
      <c r="Z31" s="6">
        <f t="shared" si="6"/>
        <v>8.8855195727166429E-3</v>
      </c>
    </row>
    <row r="32" spans="1:38" ht="18.75" customHeight="1" x14ac:dyDescent="0.3">
      <c r="A32" s="122" t="s">
        <v>28</v>
      </c>
      <c r="B32" s="6">
        <f>IF(ISBLANK(Introduction!D25),0,IF(Type_source1=2,Introduction!D25,LN(Introduction!D25)/2-LN((1-Introduction!D25)*EXP(2*B$31*Modèles!$I$25)-EXP(2*B$31*Modèles!$I$16))/2))</f>
        <v>0</v>
      </c>
      <c r="C32" s="6">
        <f>IF(ISBLANK(Introduction!E25),0,IF(Type_source1=2,Introduction!E25,LN(Introduction!E25)/2-LN((1-Introduction!E25)*EXP(2*C$31*Modèles!$I$25)-EXP(2*C$31*Modèles!$I$16))/2))</f>
        <v>8.1500000000000003E-2</v>
      </c>
      <c r="D32" s="6">
        <f>IF(ISBLANK(Introduction!F25),0,IF(Type_source1=2,Introduction!F25,LN(Introduction!F25)/2-LN((1-Introduction!F25)*EXP(2*D$31*Modèles!$I$25)-EXP(2*D$31*Modèles!$I$16))/2))</f>
        <v>-3.0999999999999999E-3</v>
      </c>
      <c r="F32" s="79" t="s">
        <v>6</v>
      </c>
      <c r="G32" s="53">
        <f>IF(Modèles!$D$42=1,Introduction!E41/SUM(Introduction!E$34:E$41)/5,(EXP(-EXP(-(Introduction!E$34+Introduction!E$35*Modèles!$M10)))-EXP(-EXP(-(Introduction!E$34+Introduction!E$35*Modèles!$M9))))/5)</f>
        <v>3.1100655897281387E-3</v>
      </c>
      <c r="H32" s="53">
        <f>IF(Modèles!$D$46=1,G32,IF(Modèles!$D$42=1,Introduction!F41/SUM(Introduction!F$34:F$41)/5,(EXP(-EXP(-(Introduction!F$34+Introduction!F$35*Modèles!$M10)))-EXP(-EXP(-(Introduction!F$34+Introduction!F$35*Modèles!$M9))))/5))</f>
        <v>1.1559495299710478E-3</v>
      </c>
      <c r="K32" s="94" t="s">
        <v>6</v>
      </c>
      <c r="L32" s="53">
        <f t="shared" si="6"/>
        <v>3.1433712311786889E-3</v>
      </c>
      <c r="M32" s="53">
        <f t="shared" si="6"/>
        <v>2.9479595137629619E-3</v>
      </c>
      <c r="N32" s="53">
        <f t="shared" si="6"/>
        <v>2.7525477963472348E-3</v>
      </c>
      <c r="O32" s="53">
        <f t="shared" si="6"/>
        <v>2.5571360789315078E-3</v>
      </c>
      <c r="P32" s="53">
        <f t="shared" si="6"/>
        <v>2.3617243615157812E-3</v>
      </c>
      <c r="Q32" s="53">
        <f t="shared" si="6"/>
        <v>2.1663126441000542E-3</v>
      </c>
      <c r="R32" s="53">
        <f t="shared" si="6"/>
        <v>1.9709009266843272E-3</v>
      </c>
      <c r="S32" s="53">
        <f t="shared" si="6"/>
        <v>1.7754892092686004E-3</v>
      </c>
      <c r="T32" s="53">
        <f t="shared" si="6"/>
        <v>1.5800774918528736E-3</v>
      </c>
      <c r="U32" s="53">
        <f t="shared" si="6"/>
        <v>1.3846657744371463E-3</v>
      </c>
      <c r="V32" s="53">
        <f t="shared" si="6"/>
        <v>1.1892540570214195E-3</v>
      </c>
      <c r="W32" s="53">
        <f t="shared" si="6"/>
        <v>9.9384233960569252E-4</v>
      </c>
      <c r="X32" s="53">
        <f t="shared" si="6"/>
        <v>7.9843062218996593E-4</v>
      </c>
      <c r="Y32" s="53">
        <f t="shared" si="6"/>
        <v>6.0301890477423891E-4</v>
      </c>
      <c r="Z32" s="53">
        <f t="shared" si="6"/>
        <v>4.0760718735851189E-4</v>
      </c>
    </row>
    <row r="33" spans="1:26" ht="18.75" customHeight="1" x14ac:dyDescent="0.2">
      <c r="B33" s="123"/>
      <c r="C33" s="6"/>
      <c r="H33" s="8"/>
      <c r="K33" s="15"/>
      <c r="L33" s="6"/>
      <c r="M33" s="6"/>
      <c r="N33" s="6"/>
      <c r="O33" s="6"/>
      <c r="P33" s="6"/>
      <c r="Q33" s="6"/>
      <c r="R33" s="6"/>
      <c r="S33" s="6"/>
      <c r="T33" s="6"/>
      <c r="U33" s="6"/>
      <c r="V33" s="6"/>
      <c r="W33" s="6"/>
      <c r="X33" s="6"/>
      <c r="Y33" s="6"/>
      <c r="Z33" s="6"/>
    </row>
    <row r="34" spans="1:26" ht="18.75" customHeight="1" x14ac:dyDescent="0.3">
      <c r="A34" s="178" t="s">
        <v>71</v>
      </c>
      <c r="B34" s="178"/>
      <c r="C34" s="178"/>
      <c r="D34" s="178"/>
      <c r="F34" s="178" t="s">
        <v>72</v>
      </c>
      <c r="G34" s="178"/>
      <c r="H34" s="178"/>
      <c r="I34" s="178"/>
      <c r="J34" s="41"/>
      <c r="K34" s="147" t="s">
        <v>73</v>
      </c>
      <c r="L34" s="30"/>
      <c r="M34" s="30"/>
      <c r="O34" s="178"/>
      <c r="P34" s="178"/>
      <c r="Q34" s="178"/>
      <c r="R34" s="178"/>
      <c r="S34" s="178"/>
      <c r="T34" s="178"/>
      <c r="U34" s="178"/>
      <c r="V34" s="178"/>
      <c r="W34" s="178"/>
      <c r="X34" s="178"/>
      <c r="Y34" s="178"/>
      <c r="Z34" s="178"/>
    </row>
    <row r="35" spans="1:26" ht="18.75" customHeight="1" x14ac:dyDescent="0.3">
      <c r="A35" s="16" t="s">
        <v>7</v>
      </c>
      <c r="B35" s="16" t="s">
        <v>9</v>
      </c>
      <c r="C35" s="16" t="s">
        <v>10</v>
      </c>
      <c r="D35" s="16" t="s">
        <v>11</v>
      </c>
      <c r="E35" s="93"/>
      <c r="F35" s="31">
        <f>Modèles!C29</f>
        <v>2008.1693989071039</v>
      </c>
      <c r="G35" s="31">
        <f>Modèles!C29-5</f>
        <v>2003.1693989071039</v>
      </c>
      <c r="H35" s="31">
        <f>G35-5</f>
        <v>1998.1693989071039</v>
      </c>
      <c r="I35" s="31">
        <f>H35-5</f>
        <v>1993.1693989071039</v>
      </c>
      <c r="J35" s="31"/>
      <c r="K35" s="51" t="s">
        <v>70</v>
      </c>
      <c r="L35" s="31">
        <f t="shared" ref="L35:Y35" si="7">L24</f>
        <v>2007.6693989071039</v>
      </c>
      <c r="M35" s="31">
        <f t="shared" si="7"/>
        <v>2006.6693989071039</v>
      </c>
      <c r="N35" s="31">
        <f t="shared" si="7"/>
        <v>2005.6693989071039</v>
      </c>
      <c r="O35" s="31">
        <f t="shared" si="7"/>
        <v>2004.6693989071039</v>
      </c>
      <c r="P35" s="31">
        <f t="shared" si="7"/>
        <v>2003.6693989071039</v>
      </c>
      <c r="Q35" s="31">
        <f t="shared" si="7"/>
        <v>2002.6693989071039</v>
      </c>
      <c r="R35" s="31">
        <f t="shared" si="7"/>
        <v>2001.6693989071039</v>
      </c>
      <c r="S35" s="31">
        <f t="shared" si="7"/>
        <v>2000.6693989071039</v>
      </c>
      <c r="T35" s="31">
        <f t="shared" si="7"/>
        <v>1999.6693989071039</v>
      </c>
      <c r="U35" s="31">
        <f t="shared" si="7"/>
        <v>1998.6693989071039</v>
      </c>
      <c r="V35" s="31">
        <f t="shared" si="7"/>
        <v>1997.6693989071039</v>
      </c>
      <c r="W35" s="31">
        <f t="shared" si="7"/>
        <v>1996.6693989071039</v>
      </c>
      <c r="X35" s="31">
        <f t="shared" si="7"/>
        <v>1995.6693989071039</v>
      </c>
      <c r="Y35" s="31">
        <f t="shared" si="7"/>
        <v>1994.6693989071039</v>
      </c>
      <c r="Z35" s="31">
        <f>$G35+(Z$24-$G$35)*($F35-$G35)/($F$35-$G$35)</f>
        <v>1993.6693989071039</v>
      </c>
    </row>
    <row r="36" spans="1:26" ht="18.75" customHeight="1" x14ac:dyDescent="0.2">
      <c r="A36" s="91" t="s">
        <v>11</v>
      </c>
      <c r="B36" s="6">
        <f>(1+EXP(2*B$32+B$31*(Modèles!$I15+Modèles!$I16)))/(1+EXP(2*B$32+B$31*(Modèles!$I16+Modèles!$I17)))</f>
        <v>0.9951366544789223</v>
      </c>
      <c r="C36" s="6">
        <f>(1+EXP(2*C$32+C$31*(Modèles!$I15+Modèles!$I16)))/(1+EXP(2*C$32+C$31*(Modèles!$I16+Modèles!$I17)))</f>
        <v>0.99418323209406345</v>
      </c>
      <c r="D36" s="6">
        <f>(1+EXP(2*D$32+D$31*(Modèles!$I15+Modèles!$I16)))/(1+EXP(2*D$32+D$31*(Modèles!$I16+Modèles!$I17)))</f>
        <v>0.99448126697519135</v>
      </c>
      <c r="F36" s="23">
        <f t="shared" ref="F36:F46" si="8">D6</f>
        <v>815930</v>
      </c>
      <c r="G36" s="23">
        <f t="shared" ref="G36:I43" si="9">F37/B36</f>
        <v>784133.51220450667</v>
      </c>
      <c r="H36" s="23">
        <f t="shared" si="9"/>
        <v>705852.02113331365</v>
      </c>
      <c r="I36" s="23">
        <f t="shared" si="9"/>
        <v>640511.9285867227</v>
      </c>
      <c r="J36" s="23"/>
      <c r="K36" s="15" t="s">
        <v>11</v>
      </c>
      <c r="L36" s="23">
        <f>IF(AND(L$35&lt;$F$35,L$35&gt;$G$35),$G36+(L$35-$G$35)*($F36-$G36)/($F$35-$G$35),IF(AND(L$35&lt;$G$35,L$35&gt;$H$35),$H36+(L$35-$H$35)*($G36-$H36)/($G$35-$H$35),$I36+(L$35-$I$35)*($H36-$I36)/($H$35-$I$35)))</f>
        <v>812750.35122045071</v>
      </c>
      <c r="M36" s="23">
        <f t="shared" ref="L36:Z43" si="10">IF(AND(M$35&lt;$F$35,M$35&gt;$G$35),$G36+(M$35-$G$35)*($F36-$G36)/($F$35-$G$35),IF(AND(M$35&lt;$G$35,M$35&gt;$H$35),$H36+(M$35-$H$35)*($G36-$H36)/($G$35-$H$35),$I36+(M$35-$I$35)*($H36-$I36)/($H$35-$I$35)))</f>
        <v>806391.05366135202</v>
      </c>
      <c r="N36" s="23">
        <f t="shared" si="10"/>
        <v>800031.75610225333</v>
      </c>
      <c r="O36" s="23">
        <f t="shared" si="10"/>
        <v>793672.45854315464</v>
      </c>
      <c r="P36" s="23">
        <f t="shared" si="10"/>
        <v>787313.16098405595</v>
      </c>
      <c r="Q36" s="23">
        <f t="shared" si="10"/>
        <v>776305.36309738737</v>
      </c>
      <c r="R36" s="23">
        <f t="shared" si="10"/>
        <v>760649.06488314876</v>
      </c>
      <c r="S36" s="23">
        <f t="shared" si="10"/>
        <v>744992.76666891016</v>
      </c>
      <c r="T36" s="23">
        <f t="shared" si="10"/>
        <v>729336.46845467156</v>
      </c>
      <c r="U36" s="23">
        <f t="shared" si="10"/>
        <v>713680.17024043296</v>
      </c>
      <c r="V36" s="23">
        <f t="shared" si="10"/>
        <v>699318.01187865459</v>
      </c>
      <c r="W36" s="23">
        <f t="shared" si="10"/>
        <v>686249.99336933636</v>
      </c>
      <c r="X36" s="23">
        <f t="shared" si="10"/>
        <v>673181.97486001812</v>
      </c>
      <c r="Y36" s="23">
        <f t="shared" si="10"/>
        <v>660113.9563507</v>
      </c>
      <c r="Z36" s="23">
        <f t="shared" si="10"/>
        <v>647045.93784138176</v>
      </c>
    </row>
    <row r="37" spans="1:26" ht="18.75" customHeight="1" x14ac:dyDescent="0.2">
      <c r="A37" s="91" t="s">
        <v>0</v>
      </c>
      <c r="B37" s="6">
        <f>(1+EXP(2*B$32+B$31*(Modèles!$I16+Modèles!$I17)))/(1+EXP(2*B$32+B$31*(Modèles!$I17+Modèles!$I18)))</f>
        <v>0.99346452682677144</v>
      </c>
      <c r="C37" s="6">
        <f>(1+EXP(2*C$32+C$31*(Modèles!$I16+Modèles!$I17)))/(1+EXP(2*C$32+C$31*(Modèles!$I17+Modèles!$I18)))</f>
        <v>0.99220804271206287</v>
      </c>
      <c r="D37" s="6">
        <f>(1+EXP(2*D$32+D$31*(Modèles!$I16+Modèles!$I17)))/(1+EXP(2*D$32+D$31*(Modèles!$I17+Modèles!$I18)))</f>
        <v>0.99265006534803613</v>
      </c>
      <c r="F37" s="23">
        <f t="shared" si="8"/>
        <v>780320</v>
      </c>
      <c r="G37" s="23">
        <f t="shared" si="9"/>
        <v>701746.24375044496</v>
      </c>
      <c r="H37" s="23">
        <f t="shared" si="9"/>
        <v>636977.11425364728</v>
      </c>
      <c r="I37" s="23">
        <f t="shared" si="9"/>
        <v>372753.88932390447</v>
      </c>
      <c r="J37" s="23"/>
      <c r="K37" s="15" t="s">
        <v>0</v>
      </c>
      <c r="L37" s="23">
        <f>IF(AND(L$35&lt;$F$35,L$35&gt;$G$35),$G37+(L$35-$G$35)*($F37-$G37)/($F$35-$G$35),IF(AND(L$35&lt;$G$35,L$35&gt;$H$35),$H37+(L$35-$H$35)*($G37-$H37)/($G$35-$H$35),$I37+(L$35-$I$35)*($H37-$I37)/($H$35-$I$35)))</f>
        <v>772462.62437504448</v>
      </c>
      <c r="M37" s="23">
        <f t="shared" si="10"/>
        <v>756747.87312513345</v>
      </c>
      <c r="N37" s="23">
        <f t="shared" si="10"/>
        <v>741033.12187522254</v>
      </c>
      <c r="O37" s="23">
        <f t="shared" si="10"/>
        <v>725318.37062531151</v>
      </c>
      <c r="P37" s="23">
        <f t="shared" si="10"/>
        <v>709603.61937540048</v>
      </c>
      <c r="Q37" s="23">
        <f t="shared" si="10"/>
        <v>695269.33080076519</v>
      </c>
      <c r="R37" s="23">
        <f t="shared" si="10"/>
        <v>682315.50490140566</v>
      </c>
      <c r="S37" s="23">
        <f t="shared" si="10"/>
        <v>669361.67900204612</v>
      </c>
      <c r="T37" s="23">
        <f t="shared" si="10"/>
        <v>656407.85310268658</v>
      </c>
      <c r="U37" s="23">
        <f t="shared" si="10"/>
        <v>643454.02720332704</v>
      </c>
      <c r="V37" s="23">
        <f t="shared" si="10"/>
        <v>610554.79176067305</v>
      </c>
      <c r="W37" s="23">
        <f t="shared" si="10"/>
        <v>557710.14677472448</v>
      </c>
      <c r="X37" s="23">
        <f t="shared" si="10"/>
        <v>504865.5017887759</v>
      </c>
      <c r="Y37" s="23">
        <f t="shared" si="10"/>
        <v>452020.85680282733</v>
      </c>
      <c r="Z37" s="23">
        <f t="shared" si="10"/>
        <v>399176.21181687876</v>
      </c>
    </row>
    <row r="38" spans="1:26" ht="18.75" customHeight="1" x14ac:dyDescent="0.2">
      <c r="A38" s="91" t="s">
        <v>1</v>
      </c>
      <c r="B38" s="6">
        <f>(1+EXP(2*B$32+B$31*(Modèles!$I17+Modèles!$I18)))/(1+EXP(2*B$32+B$31*(Modèles!$I18+Modèles!$I19)))</f>
        <v>0.99116504157579977</v>
      </c>
      <c r="C38" s="6">
        <f>(1+EXP(2*C$32+C$31*(Modèles!$I17+Modèles!$I18)))/(1+EXP(2*C$32+C$31*(Modèles!$I18+Modèles!$I19)))</f>
        <v>0.9895094187124398</v>
      </c>
      <c r="D38" s="6">
        <f>(1+EXP(2*D$32+D$31*(Modèles!$I17+Modèles!$I18)))/(1+EXP(2*D$32+D$31*(Modèles!$I18+Modèles!$I19)))</f>
        <v>0.99017596195491853</v>
      </c>
      <c r="F38" s="23">
        <f t="shared" si="8"/>
        <v>697160</v>
      </c>
      <c r="G38" s="23">
        <f t="shared" si="9"/>
        <v>632013.8157859894</v>
      </c>
      <c r="H38" s="23">
        <f t="shared" si="9"/>
        <v>370014.1725961084</v>
      </c>
      <c r="I38" s="23">
        <f t="shared" si="9"/>
        <v>454007.75397241267</v>
      </c>
      <c r="J38" s="23"/>
      <c r="K38" s="15" t="s">
        <v>1</v>
      </c>
      <c r="L38" s="23">
        <f t="shared" si="10"/>
        <v>690645.38157859899</v>
      </c>
      <c r="M38" s="23">
        <f t="shared" si="10"/>
        <v>677616.14473579684</v>
      </c>
      <c r="N38" s="23">
        <f t="shared" si="10"/>
        <v>664586.9078929947</v>
      </c>
      <c r="O38" s="23">
        <f t="shared" si="10"/>
        <v>651557.67105019256</v>
      </c>
      <c r="P38" s="23">
        <f t="shared" si="10"/>
        <v>638528.43420739041</v>
      </c>
      <c r="Q38" s="23">
        <f t="shared" si="10"/>
        <v>605813.85146700125</v>
      </c>
      <c r="R38" s="23">
        <f t="shared" si="10"/>
        <v>553413.92282902508</v>
      </c>
      <c r="S38" s="23">
        <f t="shared" si="10"/>
        <v>501013.9941910489</v>
      </c>
      <c r="T38" s="23">
        <f t="shared" si="10"/>
        <v>448614.06555307272</v>
      </c>
      <c r="U38" s="23">
        <f t="shared" si="10"/>
        <v>396214.13691509649</v>
      </c>
      <c r="V38" s="23">
        <f t="shared" si="10"/>
        <v>378413.53073373879</v>
      </c>
      <c r="W38" s="23">
        <f t="shared" si="10"/>
        <v>395212.24700899969</v>
      </c>
      <c r="X38" s="23">
        <f t="shared" si="10"/>
        <v>412010.96328426054</v>
      </c>
      <c r="Y38" s="23">
        <f t="shared" si="10"/>
        <v>428809.67955952138</v>
      </c>
      <c r="Z38" s="23">
        <f t="shared" si="10"/>
        <v>445608.39583478222</v>
      </c>
    </row>
    <row r="39" spans="1:26" ht="18.75" customHeight="1" x14ac:dyDescent="0.2">
      <c r="A39" s="91" t="s">
        <v>2</v>
      </c>
      <c r="B39" s="6">
        <f>(1+EXP(2*B$32+B$31*(Modèles!$I18+Modèles!$I19)))/(1+EXP(2*B$32+B$31*(Modèles!$I19+Modèles!$I20)))</f>
        <v>0.98775714056331732</v>
      </c>
      <c r="C39" s="6">
        <f>(1+EXP(2*C$32+C$31*(Modèles!$I18+Modèles!$I19)))/(1+EXP(2*C$32+C$31*(Modèles!$I19+Modèles!$I20)))</f>
        <v>0.98553986739452426</v>
      </c>
      <c r="D39" s="6">
        <f>(1+EXP(2*D$32+D$31*(Modèles!$I18+Modèles!$I19)))/(1+EXP(2*D$32+D$31*(Modèles!$I19+Modèles!$I20)))</f>
        <v>0.98657977531470842</v>
      </c>
      <c r="F39" s="23">
        <f t="shared" si="8"/>
        <v>626430</v>
      </c>
      <c r="G39" s="23">
        <f t="shared" si="9"/>
        <v>366132.50884093961</v>
      </c>
      <c r="H39" s="23">
        <f t="shared" si="9"/>
        <v>449547.56452462572</v>
      </c>
      <c r="I39" s="23">
        <f t="shared" si="9"/>
        <v>414963.67185852089</v>
      </c>
      <c r="J39" s="23"/>
      <c r="K39" s="15" t="s">
        <v>2</v>
      </c>
      <c r="L39" s="23">
        <f t="shared" si="10"/>
        <v>600400.25088409404</v>
      </c>
      <c r="M39" s="23">
        <f t="shared" si="10"/>
        <v>548340.7526522819</v>
      </c>
      <c r="N39" s="23">
        <f t="shared" si="10"/>
        <v>496281.25442046981</v>
      </c>
      <c r="O39" s="23">
        <f t="shared" si="10"/>
        <v>444221.75618865772</v>
      </c>
      <c r="P39" s="23">
        <f t="shared" si="10"/>
        <v>392162.25795684563</v>
      </c>
      <c r="Q39" s="23">
        <f t="shared" si="10"/>
        <v>374474.01440930821</v>
      </c>
      <c r="R39" s="23">
        <f t="shared" si="10"/>
        <v>391157.02554604545</v>
      </c>
      <c r="S39" s="23">
        <f t="shared" si="10"/>
        <v>407840.03668278269</v>
      </c>
      <c r="T39" s="23">
        <f t="shared" si="10"/>
        <v>424523.04781951988</v>
      </c>
      <c r="U39" s="23">
        <f t="shared" si="10"/>
        <v>441206.05895625713</v>
      </c>
      <c r="V39" s="23">
        <f t="shared" si="10"/>
        <v>446089.17525801522</v>
      </c>
      <c r="W39" s="23">
        <f t="shared" si="10"/>
        <v>439172.39672479429</v>
      </c>
      <c r="X39" s="23">
        <f t="shared" si="10"/>
        <v>432255.6181915733</v>
      </c>
      <c r="Y39" s="23">
        <f t="shared" si="10"/>
        <v>425338.83965835231</v>
      </c>
      <c r="Z39" s="23">
        <f t="shared" si="10"/>
        <v>418422.06112513138</v>
      </c>
    </row>
    <row r="40" spans="1:26" ht="18.75" customHeight="1" x14ac:dyDescent="0.2">
      <c r="A40" s="91" t="s">
        <v>3</v>
      </c>
      <c r="B40" s="6">
        <f>(1+EXP(2*B$32+B$31*(Modèles!$I19+Modèles!$I20)))/(1+EXP(2*B$32+B$31*(Modèles!$I20+Modèles!$I21)))</f>
        <v>0.98382328202936409</v>
      </c>
      <c r="C40" s="6">
        <f>(1+EXP(2*C$32+C$31*(Modèles!$I19+Modèles!$I20)))/(1+EXP(2*C$32+C$31*(Modèles!$I20+Modèles!$I21)))</f>
        <v>0.98101935321180223</v>
      </c>
      <c r="D40" s="6">
        <f>(1+EXP(2*D$32+D$31*(Modèles!$I19+Modèles!$I20)))/(1+EXP(2*D$32+D$31*(Modèles!$I20+Modèles!$I21)))</f>
        <v>0.98257224210203553</v>
      </c>
      <c r="F40" s="23">
        <f t="shared" si="8"/>
        <v>361650</v>
      </c>
      <c r="G40" s="23">
        <f t="shared" si="9"/>
        <v>443047.04712913098</v>
      </c>
      <c r="H40" s="23">
        <f t="shared" si="9"/>
        <v>409394.76614594593</v>
      </c>
      <c r="I40" s="23">
        <f t="shared" si="9"/>
        <v>376470.40351963899</v>
      </c>
      <c r="J40" s="23"/>
      <c r="K40" s="15" t="s">
        <v>3</v>
      </c>
      <c r="L40" s="23">
        <f t="shared" si="10"/>
        <v>369789.70471291314</v>
      </c>
      <c r="M40" s="23">
        <f t="shared" si="10"/>
        <v>386069.1141387393</v>
      </c>
      <c r="N40" s="23">
        <f t="shared" si="10"/>
        <v>402348.52356456546</v>
      </c>
      <c r="O40" s="23">
        <f t="shared" si="10"/>
        <v>418627.93299039168</v>
      </c>
      <c r="P40" s="23">
        <f t="shared" si="10"/>
        <v>434907.3424162179</v>
      </c>
      <c r="Q40" s="23">
        <f t="shared" si="10"/>
        <v>439681.81903081248</v>
      </c>
      <c r="R40" s="23">
        <f t="shared" si="10"/>
        <v>432951.36283417547</v>
      </c>
      <c r="S40" s="23">
        <f t="shared" si="10"/>
        <v>426220.90663753846</v>
      </c>
      <c r="T40" s="23">
        <f t="shared" si="10"/>
        <v>419490.45044090145</v>
      </c>
      <c r="U40" s="23">
        <f t="shared" si="10"/>
        <v>412759.99424426444</v>
      </c>
      <c r="V40" s="23">
        <f t="shared" si="10"/>
        <v>406102.32988331525</v>
      </c>
      <c r="W40" s="23">
        <f t="shared" si="10"/>
        <v>399517.45735805383</v>
      </c>
      <c r="X40" s="23">
        <f t="shared" si="10"/>
        <v>392932.58483279246</v>
      </c>
      <c r="Y40" s="23">
        <f t="shared" si="10"/>
        <v>386347.7123075311</v>
      </c>
      <c r="Z40" s="23">
        <f t="shared" si="10"/>
        <v>379762.83978226967</v>
      </c>
    </row>
    <row r="41" spans="1:26" ht="18.75" customHeight="1" x14ac:dyDescent="0.2">
      <c r="A41" s="91" t="s">
        <v>4</v>
      </c>
      <c r="B41" s="6">
        <f>(1+EXP(2*B$32+B$31*(Modèles!$I20+Modèles!$I21)))/(1+EXP(2*B$32+B$31*(Modèles!$I21+Modèles!$I22)))</f>
        <v>0.9804190362179398</v>
      </c>
      <c r="C41" s="6">
        <f>(1+EXP(2*C$32+C$31*(Modèles!$I20+Modèles!$I21)))/(1+EXP(2*C$32+C$31*(Modèles!$I21+Modèles!$I22)))</f>
        <v>0.97719715183015987</v>
      </c>
      <c r="D41" s="6">
        <f>(1+EXP(2*D$32+D$31*(Modèles!$I20+Modèles!$I21)))/(1+EXP(2*D$32+D$31*(Modèles!$I21+Modèles!$I22)))</f>
        <v>0.97930652593418932</v>
      </c>
      <c r="F41" s="23">
        <f t="shared" si="8"/>
        <v>435880</v>
      </c>
      <c r="G41" s="23">
        <f t="shared" si="9"/>
        <v>401624.1886927929</v>
      </c>
      <c r="H41" s="23">
        <f t="shared" si="9"/>
        <v>369909.36847134971</v>
      </c>
      <c r="I41" s="23">
        <f t="shared" si="9"/>
        <v>320300.23939502891</v>
      </c>
      <c r="J41" s="23"/>
      <c r="K41" s="15" t="s">
        <v>4</v>
      </c>
      <c r="L41" s="23">
        <f t="shared" si="10"/>
        <v>432454.41886927927</v>
      </c>
      <c r="M41" s="23">
        <f t="shared" si="10"/>
        <v>425603.25660783786</v>
      </c>
      <c r="N41" s="23">
        <f t="shared" si="10"/>
        <v>418752.09434639645</v>
      </c>
      <c r="O41" s="23">
        <f t="shared" si="10"/>
        <v>411900.93208495504</v>
      </c>
      <c r="P41" s="23">
        <f t="shared" si="10"/>
        <v>405049.76982351363</v>
      </c>
      <c r="Q41" s="23">
        <f t="shared" si="10"/>
        <v>398452.70667064859</v>
      </c>
      <c r="R41" s="23">
        <f t="shared" si="10"/>
        <v>392109.74262635992</v>
      </c>
      <c r="S41" s="23">
        <f t="shared" si="10"/>
        <v>385766.7785820713</v>
      </c>
      <c r="T41" s="23">
        <f t="shared" si="10"/>
        <v>379423.81453778269</v>
      </c>
      <c r="U41" s="23">
        <f t="shared" si="10"/>
        <v>373080.85049349401</v>
      </c>
      <c r="V41" s="23">
        <f t="shared" si="10"/>
        <v>364948.45556371764</v>
      </c>
      <c r="W41" s="23">
        <f t="shared" si="10"/>
        <v>355026.62974845344</v>
      </c>
      <c r="X41" s="23">
        <f t="shared" si="10"/>
        <v>345104.80393318931</v>
      </c>
      <c r="Y41" s="23">
        <f t="shared" si="10"/>
        <v>335182.97811792517</v>
      </c>
      <c r="Z41" s="23">
        <f t="shared" si="10"/>
        <v>325261.15230266098</v>
      </c>
    </row>
    <row r="42" spans="1:26" ht="18.75" customHeight="1" x14ac:dyDescent="0.2">
      <c r="A42" s="91" t="s">
        <v>5</v>
      </c>
      <c r="B42" s="6">
        <f>(1+EXP(2*B$32+B$31*(Modèles!$I21+Modèles!$I22)))/(1+EXP(2*B$32+B$31*(Modèles!$I22+Modèles!$I23)))</f>
        <v>0.97522817170844434</v>
      </c>
      <c r="C42" s="6">
        <f>(1+EXP(2*C$32+C$31*(Modèles!$I21+Modèles!$I22)))/(1+EXP(2*C$32+C$31*(Modèles!$I22+Modèles!$I23)))</f>
        <v>0.97139864822891941</v>
      </c>
      <c r="D42" s="6">
        <f>(1+EXP(2*D$32+D$31*(Modèles!$I21+Modèles!$I22)))/(1+EXP(2*D$32+D$31*(Modèles!$I22+Modèles!$I23)))</f>
        <v>0.97435905923232324</v>
      </c>
      <c r="F42" s="23">
        <f t="shared" si="8"/>
        <v>393760</v>
      </c>
      <c r="G42" s="23">
        <f t="shared" si="9"/>
        <v>361474.38130549609</v>
      </c>
      <c r="H42" s="23">
        <f t="shared" si="9"/>
        <v>313672.11469783494</v>
      </c>
      <c r="I42" s="23">
        <f t="shared" si="9"/>
        <v>258772.16931811179</v>
      </c>
      <c r="J42" s="23"/>
      <c r="K42" s="15" t="s">
        <v>5</v>
      </c>
      <c r="L42" s="23">
        <f t="shared" si="10"/>
        <v>390531.43813054962</v>
      </c>
      <c r="M42" s="23">
        <f t="shared" si="10"/>
        <v>384074.3143916488</v>
      </c>
      <c r="N42" s="23">
        <f t="shared" si="10"/>
        <v>377617.19065274805</v>
      </c>
      <c r="O42" s="23">
        <f t="shared" si="10"/>
        <v>371160.06691384729</v>
      </c>
      <c r="P42" s="23">
        <f t="shared" si="10"/>
        <v>364702.94317494647</v>
      </c>
      <c r="Q42" s="23">
        <f t="shared" si="10"/>
        <v>356694.15464472998</v>
      </c>
      <c r="R42" s="23">
        <f t="shared" si="10"/>
        <v>347133.70132319775</v>
      </c>
      <c r="S42" s="23">
        <f t="shared" si="10"/>
        <v>337573.24800166552</v>
      </c>
      <c r="T42" s="23">
        <f t="shared" si="10"/>
        <v>328012.79468013329</v>
      </c>
      <c r="U42" s="23">
        <f t="shared" si="10"/>
        <v>318452.34135860106</v>
      </c>
      <c r="V42" s="23">
        <f t="shared" si="10"/>
        <v>308182.12015986262</v>
      </c>
      <c r="W42" s="23">
        <f t="shared" si="10"/>
        <v>297202.13108391798</v>
      </c>
      <c r="X42" s="23">
        <f t="shared" si="10"/>
        <v>286222.14200797339</v>
      </c>
      <c r="Y42" s="23">
        <f t="shared" si="10"/>
        <v>275242.15293202875</v>
      </c>
      <c r="Z42" s="23">
        <f t="shared" si="10"/>
        <v>264262.16385608411</v>
      </c>
    </row>
    <row r="43" spans="1:26" ht="18.75" customHeight="1" x14ac:dyDescent="0.2">
      <c r="A43" s="91" t="s">
        <v>6</v>
      </c>
      <c r="B43" s="6">
        <f>(1+EXP(2*B$32+B$31*(Modèles!$I22+Modèles!$I23)))/(1+EXP(2*B$32+B$31*(Modèles!$I23+Modèles!$I24)))</f>
        <v>0.96580031062620864</v>
      </c>
      <c r="C43" s="6">
        <f>(1+EXP(2*C$32+C$31*(Modèles!$I22+Modèles!$I23)))/(1+EXP(2*C$32+C$31*(Modèles!$I23+Modèles!$I24)))</f>
        <v>0.96092459734499913</v>
      </c>
      <c r="D43" s="6">
        <f>(1+EXP(2*D$32+D$31*(Modèles!$I22+Modèles!$I23)))/(1+EXP(2*D$32+D$31*(Modèles!$I23+Modèles!$I24)))</f>
        <v>0.96542393961875883</v>
      </c>
      <c r="F43" s="23">
        <f t="shared" si="8"/>
        <v>352520</v>
      </c>
      <c r="G43" s="23">
        <f t="shared" si="9"/>
        <v>304700.6682045834</v>
      </c>
      <c r="H43" s="23">
        <f t="shared" si="9"/>
        <v>252137.00745230287</v>
      </c>
      <c r="I43" s="23">
        <f t="shared" si="9"/>
        <v>190119.19106434117</v>
      </c>
      <c r="J43" s="23"/>
      <c r="K43" s="15" t="s">
        <v>6</v>
      </c>
      <c r="L43" s="23">
        <f t="shared" si="10"/>
        <v>347738.06682045833</v>
      </c>
      <c r="M43" s="23">
        <f t="shared" si="10"/>
        <v>338174.200461375</v>
      </c>
      <c r="N43" s="23">
        <f t="shared" si="10"/>
        <v>328610.33410229173</v>
      </c>
      <c r="O43" s="23">
        <f t="shared" si="10"/>
        <v>319046.4677432084</v>
      </c>
      <c r="P43" s="23">
        <f t="shared" si="10"/>
        <v>309482.60138412507</v>
      </c>
      <c r="Q43" s="23">
        <f t="shared" si="10"/>
        <v>299444.30212935538</v>
      </c>
      <c r="R43" s="23">
        <f t="shared" si="10"/>
        <v>288931.56997889926</v>
      </c>
      <c r="S43" s="23">
        <f t="shared" si="10"/>
        <v>278418.83782844315</v>
      </c>
      <c r="T43" s="23">
        <f t="shared" si="10"/>
        <v>267906.10567798704</v>
      </c>
      <c r="U43" s="23">
        <f t="shared" si="10"/>
        <v>257393.37352753093</v>
      </c>
      <c r="V43" s="23">
        <f t="shared" si="10"/>
        <v>245935.22581350669</v>
      </c>
      <c r="W43" s="23">
        <f t="shared" si="10"/>
        <v>233531.66253591437</v>
      </c>
      <c r="X43" s="23">
        <f t="shared" si="10"/>
        <v>221128.09925832204</v>
      </c>
      <c r="Y43" s="23">
        <f t="shared" si="10"/>
        <v>208724.53598072968</v>
      </c>
      <c r="Z43" s="23">
        <f t="shared" si="10"/>
        <v>196320.97270313735</v>
      </c>
    </row>
    <row r="44" spans="1:26" ht="18.75" customHeight="1" x14ac:dyDescent="0.2">
      <c r="A44" s="91" t="s">
        <v>12</v>
      </c>
      <c r="B44" s="6">
        <f>(1+EXP(2*B$32+B$31*(Modèles!$I23+Modèles!$I24)))/(1+EXP(2*B$32+B$31*(Modèles!$I24+Modèles!$I25)))</f>
        <v>0.9501220888567572</v>
      </c>
      <c r="C44" s="6">
        <f>(1+EXP(2*C$32+C$31*(Modèles!$I23+Modèles!$I24)))/(1+EXP(2*C$32+C$31*(Modèles!$I24+Modèles!$I25)))</f>
        <v>0.94376637498107485</v>
      </c>
      <c r="D44" s="6"/>
      <c r="F44" s="23">
        <f t="shared" si="8"/>
        <v>294280</v>
      </c>
      <c r="G44" s="23">
        <f>F45/B44</f>
        <v>242284.65236187718</v>
      </c>
      <c r="H44" s="23">
        <f>G45/C44</f>
        <v>183545.61843446779</v>
      </c>
      <c r="I44" s="23"/>
      <c r="J44" s="23"/>
      <c r="K44" s="14" t="s">
        <v>67</v>
      </c>
      <c r="L44" s="23">
        <f t="array" ref="L44:Z44">TRANSPOSE(L6:L20)</f>
        <v>295327.94674310798</v>
      </c>
      <c r="M44" s="23">
        <v>281062.43079280772</v>
      </c>
      <c r="N44" s="23">
        <v>290117.58861431672</v>
      </c>
      <c r="O44" s="23">
        <v>312409.13876873645</v>
      </c>
      <c r="P44" s="23">
        <v>306452.69569865189</v>
      </c>
      <c r="Q44" s="23">
        <v>324643.80474057997</v>
      </c>
      <c r="R44" s="23">
        <v>325996.74042555934</v>
      </c>
      <c r="S44" s="23">
        <v>337354.71176595608</v>
      </c>
      <c r="T44" s="23">
        <v>354583.41881332611</v>
      </c>
      <c r="U44" s="23">
        <v>301183.80520458281</v>
      </c>
      <c r="V44" s="23">
        <v>370117.85382588801</v>
      </c>
      <c r="W44" s="23">
        <v>318450.8555535053</v>
      </c>
      <c r="X44" s="23">
        <v>403924.13915670617</v>
      </c>
      <c r="Y44" s="23">
        <v>408337.37070981413</v>
      </c>
      <c r="Z44" s="23">
        <v>406975.97173139127</v>
      </c>
    </row>
    <row r="45" spans="1:26" ht="18.75" customHeight="1" x14ac:dyDescent="0.2">
      <c r="A45" s="92" t="s">
        <v>13</v>
      </c>
      <c r="B45" s="6">
        <f>(1+EXP(2*B$32+B$31*(Modèles!$I24+Modèles!$I25)))/(1+EXP(2*B$32+B$31*(Modèles!$I25+Modèles!$I26)))</f>
        <v>0.9270645545088555</v>
      </c>
      <c r="C45" s="6"/>
      <c r="D45" s="6"/>
      <c r="F45" s="23">
        <f t="shared" si="8"/>
        <v>230200</v>
      </c>
      <c r="G45" s="23">
        <f>F46/B45</f>
        <v>173224.1829535572</v>
      </c>
      <c r="H45" s="23"/>
      <c r="I45" s="23"/>
      <c r="J45" s="23"/>
      <c r="K45" s="15" t="s">
        <v>65</v>
      </c>
      <c r="L45" s="5">
        <f t="shared" ref="L45:Z45" si="11">L44/SUMPRODUCT(L36:L43,L25:L32)</f>
        <v>2.7551790364673892</v>
      </c>
      <c r="M45" s="5">
        <f t="shared" si="11"/>
        <v>2.6877480748809024</v>
      </c>
      <c r="N45" s="5">
        <f t="shared" si="11"/>
        <v>2.8471822020948787</v>
      </c>
      <c r="O45" s="5">
        <f t="shared" si="11"/>
        <v>3.1504248162204305</v>
      </c>
      <c r="P45" s="5">
        <f t="shared" si="11"/>
        <v>3.1797965227759977</v>
      </c>
      <c r="Q45" s="5">
        <f t="shared" si="11"/>
        <v>3.4598093913812447</v>
      </c>
      <c r="R45" s="5">
        <f t="shared" si="11"/>
        <v>3.5616330956371458</v>
      </c>
      <c r="S45" s="5">
        <f t="shared" si="11"/>
        <v>3.7836949846423282</v>
      </c>
      <c r="T45" s="5">
        <f t="shared" si="11"/>
        <v>4.0886971067815736</v>
      </c>
      <c r="U45" s="5">
        <f t="shared" si="11"/>
        <v>3.5762286057177635</v>
      </c>
      <c r="V45" s="5">
        <f t="shared" si="11"/>
        <v>4.4826340493290981</v>
      </c>
      <c r="W45" s="5">
        <f t="shared" si="11"/>
        <v>3.8910742709865542</v>
      </c>
      <c r="X45" s="5">
        <f t="shared" si="11"/>
        <v>4.9778245810782122</v>
      </c>
      <c r="Y45" s="5">
        <f t="shared" si="11"/>
        <v>5.0739594790706324</v>
      </c>
      <c r="Z45" s="5">
        <f t="shared" si="11"/>
        <v>5.0974943749004415</v>
      </c>
    </row>
    <row r="46" spans="1:26" ht="18.75" customHeight="1" x14ac:dyDescent="0.2">
      <c r="A46" s="89" t="s">
        <v>14</v>
      </c>
      <c r="B46" s="47"/>
      <c r="C46" s="47"/>
      <c r="D46" s="47"/>
      <c r="E46" s="47"/>
      <c r="F46" s="50">
        <f t="shared" si="8"/>
        <v>160590</v>
      </c>
      <c r="G46" s="50"/>
      <c r="H46" s="50"/>
      <c r="I46" s="47"/>
      <c r="J46" s="50"/>
      <c r="K46" s="94" t="s">
        <v>74</v>
      </c>
      <c r="L46" s="47">
        <f t="shared" ref="L46:Z46" si="12">1000*L44/SUM(L37:L43)</f>
        <v>81.943993720424317</v>
      </c>
      <c r="M46" s="47">
        <f t="shared" si="12"/>
        <v>79.923898156247546</v>
      </c>
      <c r="N46" s="47">
        <f t="shared" si="12"/>
        <v>84.601393637408037</v>
      </c>
      <c r="O46" s="47">
        <f t="shared" si="12"/>
        <v>93.484360318588045</v>
      </c>
      <c r="P46" s="47">
        <f t="shared" si="12"/>
        <v>94.164581671130676</v>
      </c>
      <c r="Q46" s="47">
        <f t="shared" si="12"/>
        <v>102.41678146536096</v>
      </c>
      <c r="R46" s="47">
        <f t="shared" si="12"/>
        <v>105.56845400847337</v>
      </c>
      <c r="S46" s="47">
        <f t="shared" si="12"/>
        <v>112.21981867329727</v>
      </c>
      <c r="T46" s="47">
        <f t="shared" si="12"/>
        <v>121.250878932544</v>
      </c>
      <c r="U46" s="47">
        <f t="shared" si="12"/>
        <v>105.95509761400966</v>
      </c>
      <c r="V46" s="47">
        <f t="shared" si="12"/>
        <v>134.08970988245014</v>
      </c>
      <c r="W46" s="47">
        <f t="shared" si="12"/>
        <v>118.94155004078286</v>
      </c>
      <c r="X46" s="47">
        <f t="shared" si="12"/>
        <v>155.68358840620834</v>
      </c>
      <c r="Y46" s="47">
        <f t="shared" si="12"/>
        <v>162.57625333399886</v>
      </c>
      <c r="Z46" s="47">
        <f t="shared" si="12"/>
        <v>167.56161882954632</v>
      </c>
    </row>
    <row r="47" spans="1:26" ht="18.75" customHeight="1" x14ac:dyDescent="0.2">
      <c r="G47" s="4"/>
      <c r="H47" s="7"/>
      <c r="J47" s="19"/>
      <c r="K47" s="95"/>
      <c r="L47" s="19"/>
      <c r="M47" s="19"/>
      <c r="N47" s="19"/>
      <c r="O47" s="19"/>
      <c r="P47" s="19"/>
      <c r="Q47" s="19"/>
      <c r="R47" s="19"/>
      <c r="S47" s="19"/>
      <c r="T47" s="19"/>
      <c r="U47" s="19"/>
      <c r="V47" s="19"/>
      <c r="W47" s="19"/>
      <c r="X47" s="19"/>
      <c r="Y47" s="19"/>
      <c r="Z47" s="19"/>
    </row>
    <row r="48" spans="1:26" ht="18.75" customHeight="1" x14ac:dyDescent="0.2">
      <c r="B48" s="6"/>
      <c r="C48" s="6"/>
      <c r="D48" s="6"/>
      <c r="F48" s="6"/>
      <c r="G48" s="6"/>
      <c r="H48" s="6"/>
      <c r="J48" s="19"/>
      <c r="K48" s="96"/>
      <c r="L48" s="97"/>
      <c r="M48" s="97"/>
      <c r="N48" s="97"/>
      <c r="O48" s="97"/>
      <c r="P48" s="97"/>
      <c r="Q48" s="97"/>
      <c r="R48" s="97"/>
      <c r="S48" s="97"/>
      <c r="T48" s="97"/>
      <c r="U48" s="97"/>
      <c r="V48" s="97"/>
      <c r="W48" s="97"/>
      <c r="X48" s="97"/>
      <c r="Y48" s="97"/>
      <c r="Z48" s="97"/>
    </row>
    <row r="49" spans="2:8" ht="18.75" customHeight="1" x14ac:dyDescent="0.2">
      <c r="B49" s="6"/>
      <c r="C49" s="6"/>
      <c r="D49" s="6"/>
      <c r="F49" s="6"/>
      <c r="G49" s="6"/>
      <c r="H49" s="6"/>
    </row>
    <row r="50" spans="2:8" ht="18.75" customHeight="1" x14ac:dyDescent="0.2">
      <c r="B50" s="6"/>
      <c r="C50" s="6"/>
      <c r="D50" s="6"/>
      <c r="F50" s="6"/>
      <c r="G50" s="6"/>
      <c r="H50" s="6"/>
    </row>
    <row r="51" spans="2:8" ht="18.75" customHeight="1" x14ac:dyDescent="0.2">
      <c r="B51" s="6"/>
      <c r="C51" s="6"/>
      <c r="D51" s="6"/>
      <c r="F51" s="6"/>
      <c r="G51" s="6"/>
      <c r="H51" s="6"/>
    </row>
    <row r="52" spans="2:8" ht="18.75" customHeight="1" x14ac:dyDescent="0.2">
      <c r="B52" s="6"/>
      <c r="C52" s="6"/>
      <c r="D52" s="6"/>
      <c r="F52" s="6"/>
      <c r="G52" s="6"/>
      <c r="H52" s="6"/>
    </row>
    <row r="53" spans="2:8" ht="18.75" customHeight="1" x14ac:dyDescent="0.2">
      <c r="B53" s="6"/>
      <c r="C53" s="6"/>
      <c r="D53" s="6"/>
      <c r="F53" s="6"/>
      <c r="G53" s="6"/>
      <c r="H53" s="6"/>
    </row>
    <row r="54" spans="2:8" ht="18.75" customHeight="1" x14ac:dyDescent="0.2">
      <c r="B54" s="6"/>
      <c r="C54" s="6"/>
      <c r="D54" s="6"/>
      <c r="F54" s="6"/>
      <c r="G54" s="6"/>
      <c r="H54" s="6"/>
    </row>
    <row r="55" spans="2:8" ht="18.75" customHeight="1" x14ac:dyDescent="0.2">
      <c r="B55" s="6"/>
      <c r="C55" s="6"/>
      <c r="D55" s="6"/>
      <c r="F55" s="6"/>
      <c r="G55" s="6"/>
      <c r="H55" s="6"/>
    </row>
    <row r="56" spans="2:8" ht="18.75" customHeight="1" x14ac:dyDescent="0.2">
      <c r="B56" s="6"/>
      <c r="C56" s="6"/>
      <c r="D56" s="6"/>
      <c r="F56" s="6"/>
      <c r="G56" s="6"/>
      <c r="H56" s="6"/>
    </row>
    <row r="57" spans="2:8" ht="18.75" customHeight="1" x14ac:dyDescent="0.2">
      <c r="B57" s="6"/>
      <c r="C57" s="6"/>
      <c r="D57" s="6"/>
      <c r="F57" s="6"/>
      <c r="G57" s="6"/>
      <c r="H57" s="6"/>
    </row>
    <row r="58" spans="2:8" ht="18.75" customHeight="1" x14ac:dyDescent="0.2"/>
    <row r="59" spans="2:8" ht="18.75" customHeight="1" x14ac:dyDescent="0.2"/>
    <row r="60" spans="2:8" ht="18.75" customHeight="1" x14ac:dyDescent="0.2"/>
    <row r="61" spans="2:8" ht="18.75" customHeight="1" x14ac:dyDescent="0.2"/>
    <row r="62" spans="2:8" ht="18.75" customHeight="1" x14ac:dyDescent="0.2"/>
    <row r="63" spans="2:8" ht="18.75" customHeight="1" x14ac:dyDescent="0.2"/>
    <row r="64" spans="2:8"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sheetData>
  <sheetProtection sheet="1" objects="1" scenarios="1"/>
  <mergeCells count="10">
    <mergeCell ref="R34:T34"/>
    <mergeCell ref="U34:W34"/>
    <mergeCell ref="X34:Z34"/>
    <mergeCell ref="N4:Q4"/>
    <mergeCell ref="A34:D34"/>
    <mergeCell ref="F34:I34"/>
    <mergeCell ref="A4:D4"/>
    <mergeCell ref="F4:H4"/>
    <mergeCell ref="O34:Q34"/>
    <mergeCell ref="F23:H23"/>
  </mergeCells>
  <conditionalFormatting sqref="H24:H32">
    <cfRule type="expression" dxfId="0" priority="1">
      <formula>N_Series=1</formula>
    </cfRule>
  </conditionalFormatting>
  <dataValidations count="1">
    <dataValidation type="decimal" operator="greaterThanOrEqual" allowBlank="1" showInputMessage="1" showErrorMessage="1" sqref="D6:D16 B6:B20">
      <formula1>0</formula1>
    </dataValidation>
  </dataValidations>
  <pageMargins left="0.51181102362204722" right="0.51181102362204722" top="0.51181102362204722" bottom="0.51181102362204722" header="0.51181102362204722" footer="0.51181102362204722"/>
  <pageSetup orientation="portrait" r:id="rId1"/>
  <headerFooter alignWithMargins="0"/>
  <ignoredErrors>
    <ignoredError sqref="K36 A36 F25 K25 C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Q34"/>
  <sheetViews>
    <sheetView showGridLines="0" showRowColHeaders="0" zoomScaleNormal="100" workbookViewId="0">
      <selection activeCell="E34" sqref="E34"/>
    </sheetView>
  </sheetViews>
  <sheetFormatPr defaultColWidth="8.88671875" defaultRowHeight="14.25" x14ac:dyDescent="0.2"/>
  <cols>
    <col min="1" max="16384" width="8.88671875" style="1"/>
  </cols>
  <sheetData>
    <row r="3" spans="2:4" x14ac:dyDescent="0.2">
      <c r="B3" s="2"/>
      <c r="C3" s="3"/>
      <c r="D3" s="3"/>
    </row>
    <row r="4" spans="2:4" x14ac:dyDescent="0.2">
      <c r="B4" s="2"/>
      <c r="C4" s="3"/>
      <c r="D4" s="3"/>
    </row>
    <row r="5" spans="2:4" x14ac:dyDescent="0.2">
      <c r="B5" s="2"/>
      <c r="C5" s="3"/>
      <c r="D5" s="3"/>
    </row>
    <row r="6" spans="2:4" x14ac:dyDescent="0.2">
      <c r="B6" s="2"/>
      <c r="C6" s="3"/>
      <c r="D6" s="3"/>
    </row>
    <row r="7" spans="2:4" x14ac:dyDescent="0.2">
      <c r="B7" s="2"/>
      <c r="C7" s="3"/>
      <c r="D7" s="3"/>
    </row>
    <row r="8" spans="2:4" x14ac:dyDescent="0.2">
      <c r="B8" s="2"/>
      <c r="C8" s="3"/>
      <c r="D8" s="3"/>
    </row>
    <row r="9" spans="2:4" x14ac:dyDescent="0.2">
      <c r="B9" s="2"/>
      <c r="C9" s="3"/>
      <c r="D9" s="3"/>
    </row>
    <row r="10" spans="2:4" x14ac:dyDescent="0.2">
      <c r="B10" s="2"/>
      <c r="C10" s="3"/>
      <c r="D10" s="3"/>
    </row>
    <row r="11" spans="2:4" x14ac:dyDescent="0.2">
      <c r="B11" s="2"/>
      <c r="C11" s="3"/>
      <c r="D11" s="3"/>
    </row>
    <row r="12" spans="2:4" x14ac:dyDescent="0.2">
      <c r="B12" s="2"/>
      <c r="C12" s="3"/>
      <c r="D12" s="3"/>
    </row>
    <row r="13" spans="2:4" x14ac:dyDescent="0.2">
      <c r="B13" s="2"/>
      <c r="C13" s="3"/>
      <c r="D13" s="3"/>
    </row>
    <row r="14" spans="2:4" x14ac:dyDescent="0.2">
      <c r="B14" s="2"/>
      <c r="C14" s="3"/>
      <c r="D14" s="3"/>
    </row>
    <row r="15" spans="2:4" x14ac:dyDescent="0.2">
      <c r="B15" s="2"/>
      <c r="C15" s="3"/>
      <c r="D15" s="3"/>
    </row>
    <row r="16" spans="2:4" x14ac:dyDescent="0.2">
      <c r="B16" s="2"/>
      <c r="C16" s="3"/>
      <c r="D16" s="3"/>
    </row>
    <row r="17" spans="2:4" x14ac:dyDescent="0.2">
      <c r="B17" s="2"/>
      <c r="C17" s="3"/>
      <c r="D17" s="3"/>
    </row>
    <row r="18" spans="2:4" x14ac:dyDescent="0.2">
      <c r="B18" s="2"/>
    </row>
    <row r="19" spans="2:4" x14ac:dyDescent="0.2">
      <c r="B19" s="2"/>
    </row>
    <row r="20" spans="2:4" x14ac:dyDescent="0.2">
      <c r="B20" s="2"/>
    </row>
    <row r="33" spans="3:17" x14ac:dyDescent="0.2">
      <c r="C33" s="3"/>
      <c r="D33" s="3"/>
      <c r="E33" s="3"/>
      <c r="F33" s="3"/>
      <c r="G33" s="3"/>
      <c r="H33" s="3"/>
      <c r="I33" s="3"/>
      <c r="J33" s="3"/>
      <c r="K33" s="3"/>
      <c r="L33" s="3"/>
      <c r="M33" s="3"/>
      <c r="N33" s="3"/>
      <c r="O33" s="3"/>
      <c r="P33" s="3"/>
      <c r="Q33" s="3"/>
    </row>
    <row r="34" spans="3:17" x14ac:dyDescent="0.2">
      <c r="C34" s="3"/>
      <c r="D34" s="3"/>
      <c r="E34" s="3"/>
      <c r="F34" s="3"/>
      <c r="G34" s="3"/>
      <c r="H34" s="3"/>
      <c r="I34" s="3"/>
      <c r="J34" s="3"/>
      <c r="K34" s="3"/>
      <c r="L34" s="3"/>
      <c r="M34" s="3"/>
      <c r="N34" s="3"/>
      <c r="O34" s="3"/>
      <c r="P34" s="3"/>
      <c r="Q34" s="3"/>
    </row>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Introduction</vt:lpstr>
      <vt:lpstr>Modèles</vt:lpstr>
      <vt:lpstr>Méthode</vt:lpstr>
      <vt:lpstr>Graphiques</vt:lpstr>
      <vt:lpstr>Model_LTs</vt:lpstr>
      <vt:lpstr>N_Series</vt:lpstr>
      <vt:lpstr>Series</vt:lpstr>
      <vt:lpstr>Source1</vt:lpstr>
      <vt:lpstr>Source2</vt:lpstr>
      <vt:lpstr>Type_source1</vt:lpstr>
      <vt:lpstr>Type_Source2</vt:lpstr>
    </vt:vector>
  </TitlesOfParts>
  <Company>University of Cape Town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01404747</dc:creator>
  <cp:lastModifiedBy>01404747</cp:lastModifiedBy>
  <dcterms:created xsi:type="dcterms:W3CDTF">2011-10-28T09:00:03Z</dcterms:created>
  <dcterms:modified xsi:type="dcterms:W3CDTF">2014-11-26T20:47:22Z</dcterms:modified>
</cp:coreProperties>
</file>