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5" yWindow="5895" windowWidth="19230" windowHeight="5940"/>
  </bookViews>
  <sheets>
    <sheet name="Introduction" sheetId="5" r:id="rId1"/>
    <sheet name="Méthode" sheetId="1" r:id="rId2"/>
    <sheet name="Graphiques diagnostiques" sheetId="4" r:id="rId3"/>
  </sheets>
  <externalReferences>
    <externalReference r:id="rId4"/>
    <externalReference r:id="rId5"/>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hidden="1">#REF!</definedName>
    <definedName name="_Order1" hidden="1">255</definedName>
    <definedName name="_Sort" hidden="1">#REF!</definedName>
    <definedName name="ALPHAC">#REF!</definedName>
    <definedName name="ALPHAF">#REF!</definedName>
    <definedName name="ALPHAP">#REF!</definedName>
    <definedName name="BETAC">#REF!</definedName>
    <definedName name="BETAF">#REF!</definedName>
    <definedName name="BETAP">#REF!</definedName>
    <definedName name="CCONST">#REF!</definedName>
    <definedName name="CINTERCEPT">#REF!</definedName>
    <definedName name="CSLOP">#REF!</definedName>
    <definedName name="FCONST">#REF!</definedName>
    <definedName name="FINTERCEPT">#REF!</definedName>
    <definedName name="FPTS">#REF!</definedName>
    <definedName name="FSLOP">#REF!</definedName>
    <definedName name="graph1" hidden="1">[2]GOMP!$Z$26:$Z$42</definedName>
    <definedName name="graph10" hidden="1">[2]GOMP!$Y$3:$Y$9</definedName>
    <definedName name="graph11" hidden="1">[2]GOMP!$AE$26:$AE$49</definedName>
    <definedName name="graph12" hidden="1">[2]GOMP!$AE$26:$AE$49</definedName>
    <definedName name="graph13" hidden="1">[2]GOMP!$AB$26:$AB$42</definedName>
    <definedName name="graph14" hidden="1">[2]GOMP!$AB$26:$AB$42</definedName>
    <definedName name="graph15" hidden="1">[2]GOMP!$V$3:$V$19</definedName>
    <definedName name="graph16" hidden="1">[2]GOMP!$V$3:$V$9</definedName>
    <definedName name="graph17" hidden="1">[2]GOMP!$AF$26:$AF$49</definedName>
    <definedName name="graph18" hidden="1">[2]GOMP!$AF$26:$AF$49</definedName>
    <definedName name="graph19" hidden="1">[2]GOMP!$Y$26:$Y$60</definedName>
    <definedName name="graph1a" hidden="1">#REF!</definedName>
    <definedName name="graph2" hidden="1">[2]GOMP!$Z$26:$Z$42</definedName>
    <definedName name="graph20" hidden="1">[2]GOMP!$Y$26:$Y$60</definedName>
    <definedName name="graph21" hidden="1">[2]GOMP!$W$3:$W$19</definedName>
    <definedName name="graph3" hidden="1">[2]GOMP!$X$3:$X$18</definedName>
    <definedName name="graph4" hidden="1">[2]GOMP!$AC$26:$AC$42</definedName>
    <definedName name="graph5" hidden="1">[2]GOMP!$AC$26:$AC$42</definedName>
    <definedName name="graph6" hidden="1">[2]GOMP!$Y$3:$Y$19</definedName>
    <definedName name="graph7" hidden="1">[2]GOMP!$AA$26:$AA$60</definedName>
    <definedName name="graph8" hidden="1">[2]GOMP!$AA$26:$AA$60</definedName>
    <definedName name="graph9" hidden="1">[2]GOMP!$X$3:$X$9</definedName>
    <definedName name="HALF">#REF!</definedName>
    <definedName name="IMPORT">#REF!</definedName>
    <definedName name="INPUT">#REF!</definedName>
    <definedName name="Intersurvey_period">Méthode!$AU$30:$AU$32</definedName>
    <definedName name="LEGB">#REF!</definedName>
    <definedName name="LEGC">#REF!</definedName>
    <definedName name="LEVELC">#REF!</definedName>
    <definedName name="LEVELF">#REF!</definedName>
    <definedName name="LEVELP">#REF!</definedName>
    <definedName name="MAXF">#REF!</definedName>
    <definedName name="MAXP">#REF!</definedName>
    <definedName name="MINF">#REF!</definedName>
    <definedName name="MINP">#REF!</definedName>
    <definedName name="NC">#REF!</definedName>
    <definedName name="NF">#REF!</definedName>
    <definedName name="NONE">#REF!</definedName>
    <definedName name="NP">#REF!</definedName>
    <definedName name="ONE_AHALF">#REF!</definedName>
    <definedName name="PCONST">#REF!</definedName>
    <definedName name="PINTERCEPT">#REF!</definedName>
    <definedName name="PPTS">#REF!</definedName>
    <definedName name="_xlnm.Print_Area" localSheetId="1">Méthode!$A$4:$I$30</definedName>
    <definedName name="PSLOP" localSheetId="2">#REF!</definedName>
    <definedName name="PSLOP" localSheetId="0">#REF!</definedName>
    <definedName name="PSLOP">#REF!</definedName>
    <definedName name="SHIFT" localSheetId="2">#REF!</definedName>
    <definedName name="SHIFT" localSheetId="0">#REF!</definedName>
    <definedName name="SHIFT">#REF!</definedName>
    <definedName name="TITLE" localSheetId="0">#REF!</definedName>
    <definedName name="TITLE">#REF!</definedName>
    <definedName name="WHICH">#REF!</definedName>
    <definedName name="WHOLE">#REF!</definedName>
    <definedName name="XC">#REF!</definedName>
    <definedName name="XF">#REF!</definedName>
    <definedName name="XP">#REF!</definedName>
    <definedName name="XXC">#REF!</definedName>
    <definedName name="XXF">#REF!</definedName>
    <definedName name="XXP">#REF!</definedName>
    <definedName name="XYC">#REF!</definedName>
    <definedName name="XYF">#REF!</definedName>
    <definedName name="XYP">#REF!</definedName>
    <definedName name="YC">#REF!</definedName>
    <definedName name="YF">#REF!</definedName>
    <definedName name="YP">#REF!</definedName>
    <definedName name="YYC">#REF!</definedName>
    <definedName name="YYF">#REF!</definedName>
    <definedName name="YYP">#REF!</definedName>
  </definedNames>
  <calcPr calcId="145621"/>
</workbook>
</file>

<file path=xl/calcChain.xml><?xml version="1.0" encoding="utf-8"?>
<calcChain xmlns="http://schemas.openxmlformats.org/spreadsheetml/2006/main">
  <c r="BA30" i="1" l="1"/>
  <c r="A1" i="1" l="1"/>
  <c r="B2" i="1"/>
  <c r="C2" i="1" s="1"/>
  <c r="N10" i="1" l="1"/>
  <c r="AV29" i="1" l="1"/>
  <c r="D5" i="1" l="1"/>
  <c r="T10" i="1"/>
  <c r="Y10" i="1" s="1"/>
  <c r="D4" i="1"/>
  <c r="D6" i="1" s="1"/>
  <c r="N4" i="1" l="1"/>
  <c r="N3" i="1"/>
  <c r="D7" i="1" l="1"/>
  <c r="D8" i="1" s="1"/>
  <c r="D9" i="1" s="1"/>
  <c r="D10" i="1" s="1"/>
  <c r="N5" i="1"/>
  <c r="AN38" i="1"/>
  <c r="AL24" i="1" s="1"/>
  <c r="AK38" i="1"/>
  <c r="AK37" i="1"/>
  <c r="N6" i="1" l="1"/>
  <c r="N7" i="1"/>
  <c r="AZ83" i="1"/>
  <c r="AZ82" i="1"/>
  <c r="AZ81" i="1"/>
  <c r="AZ80" i="1"/>
  <c r="AZ79" i="1"/>
  <c r="AZ78" i="1"/>
  <c r="AZ77" i="1"/>
  <c r="AZ76" i="1"/>
  <c r="AZ75" i="1"/>
  <c r="AK36" i="1" s="1"/>
  <c r="AZ74" i="1"/>
  <c r="AZ73" i="1"/>
  <c r="AZ72" i="1"/>
  <c r="AZ71" i="1"/>
  <c r="AZ70" i="1"/>
  <c r="AZ69" i="1"/>
  <c r="AZ68" i="1"/>
  <c r="AZ67" i="1"/>
  <c r="AZ66" i="1"/>
  <c r="AZ65" i="1"/>
  <c r="AK35" i="1" s="1"/>
  <c r="AZ64" i="1"/>
  <c r="AZ63" i="1"/>
  <c r="AZ62" i="1"/>
  <c r="AZ61" i="1"/>
  <c r="AZ60" i="1"/>
  <c r="AZ59" i="1"/>
  <c r="AZ58" i="1"/>
  <c r="AZ57" i="1"/>
  <c r="AZ56" i="1"/>
  <c r="AZ55" i="1"/>
  <c r="AK34" i="1" s="1"/>
  <c r="AZ54" i="1"/>
  <c r="AZ53" i="1"/>
  <c r="AZ52" i="1"/>
  <c r="AZ51" i="1"/>
  <c r="AZ50" i="1"/>
  <c r="AZ49" i="1"/>
  <c r="AZ48" i="1"/>
  <c r="AZ47" i="1"/>
  <c r="AZ46" i="1"/>
  <c r="AZ45" i="1"/>
  <c r="AK33" i="1" s="1"/>
  <c r="AZ44" i="1"/>
  <c r="AZ43" i="1"/>
  <c r="AZ42" i="1"/>
  <c r="AZ41" i="1"/>
  <c r="AZ40" i="1"/>
  <c r="AZ39" i="1"/>
  <c r="AZ38" i="1"/>
  <c r="AZ37" i="1"/>
  <c r="AZ36" i="1"/>
  <c r="AZ35" i="1"/>
  <c r="AK32" i="1" s="1"/>
  <c r="AZ34" i="1"/>
  <c r="AZ33" i="1"/>
  <c r="AZ32" i="1"/>
  <c r="AZ31" i="1"/>
  <c r="AZ30" i="1"/>
  <c r="AZ29" i="1"/>
  <c r="AZ28" i="1"/>
  <c r="AZ27" i="1"/>
  <c r="AZ26" i="1"/>
  <c r="AZ25" i="1"/>
  <c r="AK31" i="1" s="1"/>
  <c r="AZ24" i="1"/>
  <c r="AZ23" i="1"/>
  <c r="AZ22" i="1"/>
  <c r="AZ21" i="1"/>
  <c r="AZ20" i="1"/>
  <c r="AZ19" i="1"/>
  <c r="AZ18" i="1"/>
  <c r="AZ17" i="1"/>
  <c r="AZ16" i="1"/>
  <c r="AZ15" i="1"/>
  <c r="AK30" i="1" s="1"/>
  <c r="AZ14" i="1"/>
  <c r="AZ13" i="1"/>
  <c r="AZ12" i="1"/>
  <c r="AZ11" i="1"/>
  <c r="AZ10" i="1"/>
  <c r="AZ9" i="1"/>
  <c r="AZ8" i="1"/>
  <c r="AZ7" i="1"/>
  <c r="N9" i="1" l="1"/>
  <c r="N8" i="1"/>
  <c r="BA20" i="1"/>
  <c r="BA24" i="1"/>
  <c r="BA28" i="1"/>
  <c r="BA32" i="1"/>
  <c r="BA36" i="1"/>
  <c r="BA40" i="1"/>
  <c r="BA44" i="1"/>
  <c r="BA48" i="1"/>
  <c r="BA52" i="1"/>
  <c r="BA56" i="1"/>
  <c r="BA60" i="1"/>
  <c r="BA64" i="1"/>
  <c r="BA68" i="1"/>
  <c r="BA72" i="1"/>
  <c r="BA76" i="1"/>
  <c r="BA80" i="1"/>
  <c r="BA84" i="1"/>
  <c r="BA88" i="1"/>
  <c r="BA17" i="1"/>
  <c r="BA25" i="1"/>
  <c r="AN31" i="1" s="1"/>
  <c r="BA29" i="1"/>
  <c r="BA37" i="1"/>
  <c r="BA41" i="1"/>
  <c r="BA49" i="1"/>
  <c r="BA53" i="1"/>
  <c r="BA61" i="1"/>
  <c r="BA69" i="1"/>
  <c r="BA18" i="1"/>
  <c r="BA22" i="1"/>
  <c r="BA26" i="1"/>
  <c r="BA34" i="1"/>
  <c r="BA38" i="1"/>
  <c r="BA42" i="1"/>
  <c r="BA46" i="1"/>
  <c r="BA50" i="1"/>
  <c r="BA54" i="1"/>
  <c r="BA58" i="1"/>
  <c r="BA62" i="1"/>
  <c r="BA66" i="1"/>
  <c r="BA70" i="1"/>
  <c r="BA74" i="1"/>
  <c r="BA78" i="1"/>
  <c r="BA82" i="1"/>
  <c r="BA90" i="1"/>
  <c r="BA19" i="1"/>
  <c r="BA23" i="1"/>
  <c r="BA27" i="1"/>
  <c r="BA31" i="1"/>
  <c r="BA35" i="1"/>
  <c r="AN32" i="1" s="1"/>
  <c r="BA39" i="1"/>
  <c r="BA43" i="1"/>
  <c r="BA47" i="1"/>
  <c r="BA51" i="1"/>
  <c r="BA55" i="1"/>
  <c r="AN34" i="1" s="1"/>
  <c r="BA59" i="1"/>
  <c r="BA63" i="1"/>
  <c r="BA67" i="1"/>
  <c r="BA71" i="1"/>
  <c r="BA75" i="1"/>
  <c r="AN36" i="1" s="1"/>
  <c r="BA79" i="1"/>
  <c r="BA83" i="1"/>
  <c r="BA91" i="1"/>
  <c r="BA21" i="1"/>
  <c r="BA33" i="1"/>
  <c r="BA45" i="1"/>
  <c r="AN33" i="1" s="1"/>
  <c r="BA57" i="1"/>
  <c r="BA65" i="1"/>
  <c r="AN35" i="1" s="1"/>
  <c r="BA73" i="1"/>
  <c r="BA77" i="1"/>
  <c r="BA81" i="1"/>
  <c r="BA85" i="1"/>
  <c r="AN37" i="1" s="1"/>
  <c r="BA15" i="1"/>
  <c r="AN30" i="1" s="1"/>
  <c r="BA16" i="1"/>
  <c r="BA86" i="1"/>
  <c r="BA87" i="1"/>
  <c r="BA89" i="1"/>
  <c r="AL23" i="1" l="1"/>
  <c r="AL22" i="1"/>
  <c r="AL21" i="1"/>
  <c r="AL20" i="1"/>
  <c r="AL19" i="1"/>
  <c r="AL18" i="1"/>
  <c r="AL17" i="1"/>
  <c r="AL16" i="1"/>
  <c r="AK12" i="1"/>
  <c r="AL12" i="1" s="1"/>
  <c r="AK11" i="1"/>
  <c r="AK10" i="1"/>
  <c r="AK9" i="1"/>
  <c r="AK8" i="1"/>
  <c r="AK7" i="1"/>
  <c r="AK6" i="1"/>
  <c r="AK5" i="1"/>
  <c r="AL7" i="1" l="1"/>
  <c r="AM7" i="1"/>
  <c r="AN7" i="1" s="1"/>
  <c r="AL11" i="1"/>
  <c r="AM11" i="1"/>
  <c r="AN11" i="1" s="1"/>
  <c r="AL8" i="1"/>
  <c r="AM8" i="1"/>
  <c r="AN8" i="1" s="1"/>
  <c r="AM5" i="1"/>
  <c r="AN5" i="1" s="1"/>
  <c r="AL5" i="1"/>
  <c r="AL9" i="1"/>
  <c r="AM9" i="1"/>
  <c r="AN9" i="1" s="1"/>
  <c r="AL6" i="1"/>
  <c r="AM6" i="1"/>
  <c r="AN6" i="1" s="1"/>
  <c r="AL10" i="1"/>
  <c r="AM10" i="1"/>
  <c r="AN10" i="1" s="1"/>
  <c r="AB40" i="1"/>
  <c r="AB39" i="1"/>
  <c r="AB38" i="1"/>
  <c r="AB37" i="1"/>
  <c r="AB36" i="1"/>
  <c r="AB35" i="1"/>
  <c r="AB34" i="1"/>
  <c r="AB33" i="1"/>
  <c r="AO9" i="1" l="1"/>
  <c r="AR9" i="1" s="1"/>
  <c r="AO8" i="1"/>
  <c r="AR8" i="1" s="1"/>
  <c r="AP6" i="1"/>
  <c r="AO5" i="1"/>
  <c r="AR5" i="1" s="1"/>
  <c r="AO11" i="1"/>
  <c r="AR11" i="1" s="1"/>
  <c r="AO10" i="1"/>
  <c r="AR10" i="1" s="1"/>
  <c r="AO7" i="1"/>
  <c r="AR7" i="1" s="1"/>
  <c r="AP8" i="1"/>
  <c r="AO6" i="1"/>
  <c r="AR6" i="1" s="1"/>
  <c r="AP7" i="1"/>
  <c r="O10" i="1"/>
  <c r="O4" i="1"/>
  <c r="O5" i="1"/>
  <c r="O6" i="1"/>
  <c r="X10" i="1"/>
  <c r="O3" i="1"/>
  <c r="O9" i="1"/>
  <c r="O8" i="1"/>
  <c r="O7" i="1"/>
  <c r="AJ16" i="1"/>
  <c r="AQ9" i="1" l="1"/>
  <c r="AQ8" i="1"/>
  <c r="AQ10" i="1"/>
  <c r="AQ7" i="1"/>
  <c r="AQ11" i="1"/>
  <c r="AQ6" i="1"/>
  <c r="AQ5" i="1"/>
  <c r="AP13" i="1"/>
  <c r="W10" i="1"/>
  <c r="U10" i="1"/>
  <c r="AN23" i="1" l="1"/>
  <c r="AO23" i="1" s="1"/>
  <c r="AM23" i="1"/>
  <c r="AN18" i="1"/>
  <c r="AO18" i="1" s="1"/>
  <c r="AM18" i="1"/>
  <c r="AN22" i="1"/>
  <c r="AO22" i="1" s="1"/>
  <c r="AM22" i="1"/>
  <c r="AN17" i="1"/>
  <c r="AO17" i="1" s="1"/>
  <c r="AM17" i="1"/>
  <c r="AN21" i="1"/>
  <c r="AO21" i="1" s="1"/>
  <c r="AM21" i="1"/>
  <c r="AC22" i="1"/>
  <c r="AN16" i="1"/>
  <c r="AO16" i="1" s="1"/>
  <c r="AM16" i="1"/>
  <c r="AC33" i="1" s="1"/>
  <c r="AN20" i="1"/>
  <c r="AO20" i="1" s="1"/>
  <c r="AM20" i="1"/>
  <c r="AN19" i="1"/>
  <c r="AO19" i="1" s="1"/>
  <c r="AM19" i="1"/>
  <c r="AP18" i="1" l="1"/>
  <c r="AC36" i="1"/>
  <c r="AC37" i="1"/>
  <c r="AP19" i="1"/>
  <c r="AP20" i="1"/>
  <c r="AC38" i="1"/>
  <c r="AC27" i="1"/>
  <c r="AC39" i="1"/>
  <c r="AP21" i="1"/>
  <c r="AC35" i="1"/>
  <c r="AP17" i="1"/>
  <c r="AP23" i="1"/>
  <c r="AS23" i="1" s="1"/>
  <c r="R10" i="1" s="1"/>
  <c r="AC40" i="1"/>
  <c r="AP22" i="1"/>
  <c r="AC26" i="1"/>
  <c r="AC23" i="1"/>
  <c r="AC28" i="1"/>
  <c r="AC24" i="1"/>
  <c r="AC29" i="1"/>
  <c r="AC25" i="1"/>
  <c r="AC34" i="1"/>
  <c r="AP16" i="1"/>
  <c r="AR23" i="1" l="1"/>
  <c r="P10" i="1" s="1"/>
  <c r="Q10" i="1" s="1"/>
  <c r="AR17" i="1"/>
  <c r="P4" i="1" s="1"/>
  <c r="Q4" i="1" s="1"/>
  <c r="T4" i="1" s="1"/>
  <c r="W4" i="1" s="1"/>
  <c r="AS17" i="1"/>
  <c r="R4" i="1" s="1"/>
  <c r="AQ17" i="1"/>
  <c r="AS16" i="1"/>
  <c r="R3" i="1" s="1"/>
  <c r="AR16" i="1"/>
  <c r="P3" i="1" s="1"/>
  <c r="Q3" i="1" s="1"/>
  <c r="T3" i="1" s="1"/>
  <c r="Y3" i="1" s="1"/>
  <c r="AS22" i="1"/>
  <c r="R9" i="1" s="1"/>
  <c r="AR22" i="1"/>
  <c r="P9" i="1" s="1"/>
  <c r="Q9" i="1" s="1"/>
  <c r="T9" i="1" s="1"/>
  <c r="Y9" i="1" s="1"/>
  <c r="AS20" i="1"/>
  <c r="R7" i="1" s="1"/>
  <c r="AR20" i="1"/>
  <c r="P7" i="1" s="1"/>
  <c r="Q7" i="1" s="1"/>
  <c r="T7" i="1" s="1"/>
  <c r="AS18" i="1"/>
  <c r="R5" i="1" s="1"/>
  <c r="AQ18" i="1"/>
  <c r="AR18" i="1"/>
  <c r="P5" i="1" s="1"/>
  <c r="Q5" i="1" s="1"/>
  <c r="T5" i="1" s="1"/>
  <c r="AS21" i="1"/>
  <c r="R8" i="1" s="1"/>
  <c r="AR21" i="1"/>
  <c r="P8" i="1" s="1"/>
  <c r="Q8" i="1" s="1"/>
  <c r="T8" i="1" s="1"/>
  <c r="AQ19" i="1"/>
  <c r="AS19" i="1"/>
  <c r="R6" i="1" s="1"/>
  <c r="AR19" i="1"/>
  <c r="P6" i="1" s="1"/>
  <c r="Q6" i="1" s="1"/>
  <c r="T6" i="1" s="1"/>
  <c r="W3" i="1" l="1"/>
  <c r="U3" i="1"/>
  <c r="X3" i="1" s="1"/>
  <c r="W9" i="1"/>
  <c r="U9" i="1"/>
  <c r="X9" i="1" s="1"/>
  <c r="AQ25" i="1"/>
  <c r="W6" i="1"/>
  <c r="U6" i="1"/>
  <c r="X6" i="1" s="1"/>
  <c r="W5" i="1"/>
  <c r="U5" i="1"/>
  <c r="X5" i="1" s="1"/>
  <c r="U4" i="1"/>
  <c r="X4" i="1" s="1"/>
  <c r="W8" i="1"/>
  <c r="U8" i="1"/>
  <c r="X8" i="1" s="1"/>
  <c r="W7" i="1"/>
  <c r="U7" i="1"/>
  <c r="X7" i="1" s="1"/>
  <c r="AC3" i="1" l="1"/>
  <c r="AC13" i="1"/>
  <c r="AC11" i="1"/>
  <c r="AC12" i="1"/>
  <c r="AC8" i="1"/>
  <c r="AC10" i="1"/>
  <c r="AC16" i="1" l="1"/>
  <c r="AC17" i="1" l="1"/>
  <c r="I6" i="1"/>
  <c r="K6" i="1" s="1"/>
  <c r="AC18" i="1" l="1"/>
  <c r="AD39" i="1" s="1"/>
  <c r="AE39" i="1" s="1"/>
  <c r="AG39" i="1" s="1"/>
  <c r="Y5" i="1"/>
  <c r="Y7" i="1"/>
  <c r="Y6" i="1"/>
  <c r="Y8" i="1"/>
  <c r="Y4" i="1"/>
  <c r="AD27" i="1" l="1"/>
  <c r="AE27" i="1" s="1"/>
  <c r="I5" i="1"/>
  <c r="K5" i="1" s="1"/>
  <c r="AD23" i="1"/>
  <c r="AE23" i="1" s="1"/>
  <c r="AD40" i="1"/>
  <c r="AE40" i="1" s="1"/>
  <c r="AG40" i="1" s="1"/>
  <c r="AD29" i="1"/>
  <c r="AE29" i="1" s="1"/>
  <c r="AD28" i="1"/>
  <c r="AE28" i="1" s="1"/>
  <c r="AD36" i="1"/>
  <c r="AE36" i="1" s="1"/>
  <c r="AG36" i="1" s="1"/>
  <c r="AD34" i="1"/>
  <c r="AE34" i="1" s="1"/>
  <c r="AG34" i="1" s="1"/>
  <c r="AD22" i="1"/>
  <c r="AE22" i="1" s="1"/>
  <c r="AD33" i="1"/>
  <c r="AE33" i="1" s="1"/>
  <c r="AG33" i="1" s="1"/>
  <c r="AD37" i="1"/>
  <c r="AE37" i="1" s="1"/>
  <c r="AG37" i="1" s="1"/>
  <c r="AD24" i="1"/>
  <c r="AE24" i="1" s="1"/>
  <c r="AD26" i="1"/>
  <c r="AE26" i="1" s="1"/>
  <c r="AD25" i="1"/>
  <c r="AE25" i="1" s="1"/>
  <c r="AD35" i="1"/>
  <c r="AE35" i="1" s="1"/>
  <c r="AG35" i="1" s="1"/>
  <c r="AD38" i="1"/>
  <c r="AE38" i="1" s="1"/>
  <c r="AG38" i="1" s="1"/>
  <c r="Y11" i="1"/>
  <c r="I8" i="1" s="1"/>
  <c r="AG41" i="1" l="1"/>
  <c r="I7" i="1" s="1"/>
  <c r="AF29" i="1" l="1"/>
  <c r="AF34" i="1"/>
  <c r="AF22" i="1"/>
  <c r="AG22" i="1" s="1"/>
  <c r="F3" i="1" s="1"/>
  <c r="AF36" i="1"/>
  <c r="AF23" i="1"/>
  <c r="AF37" i="1"/>
  <c r="AF25" i="1"/>
  <c r="AF27" i="1"/>
  <c r="AG27" i="1" s="1"/>
  <c r="F8" i="1" s="1"/>
  <c r="AF38" i="1"/>
  <c r="AF24" i="1"/>
  <c r="AF40" i="1"/>
  <c r="AF35" i="1"/>
  <c r="AF26" i="1"/>
  <c r="AF28" i="1"/>
  <c r="AF33" i="1"/>
  <c r="AF39" i="1"/>
  <c r="Q106" i="1"/>
  <c r="Q102" i="1"/>
  <c r="Q98" i="1"/>
  <c r="Q94" i="1"/>
  <c r="Q90" i="1"/>
  <c r="Q86" i="1"/>
  <c r="Q82" i="1"/>
  <c r="Q78" i="1"/>
  <c r="Q74" i="1"/>
  <c r="Q70" i="1"/>
  <c r="Q66" i="1"/>
  <c r="Q62" i="1"/>
  <c r="Q58" i="1"/>
  <c r="Q54" i="1"/>
  <c r="Q50" i="1"/>
  <c r="Q46" i="1"/>
  <c r="Q42" i="1"/>
  <c r="Q38" i="1"/>
  <c r="Q34" i="1"/>
  <c r="Q30" i="1"/>
  <c r="Q26" i="1"/>
  <c r="Q22" i="1"/>
  <c r="R21" i="1" s="1"/>
  <c r="Q105" i="1"/>
  <c r="Q101" i="1"/>
  <c r="Q97" i="1"/>
  <c r="Q93" i="1"/>
  <c r="Q89" i="1"/>
  <c r="Q85" i="1"/>
  <c r="Q81" i="1"/>
  <c r="Q77" i="1"/>
  <c r="Q73" i="1"/>
  <c r="Q69" i="1"/>
  <c r="Q65" i="1"/>
  <c r="Q61" i="1"/>
  <c r="Q57" i="1"/>
  <c r="Q53" i="1"/>
  <c r="Q49" i="1"/>
  <c r="Q45" i="1"/>
  <c r="Q41" i="1"/>
  <c r="Q37" i="1"/>
  <c r="Q33" i="1"/>
  <c r="Q29" i="1"/>
  <c r="Q25" i="1"/>
  <c r="Q21" i="1"/>
  <c r="Q104" i="1"/>
  <c r="Q100" i="1"/>
  <c r="Q96" i="1"/>
  <c r="Q92" i="1"/>
  <c r="Q88" i="1"/>
  <c r="Q84" i="1"/>
  <c r="Q80" i="1"/>
  <c r="Q76" i="1"/>
  <c r="Q72" i="1"/>
  <c r="Q68" i="1"/>
  <c r="Q64" i="1"/>
  <c r="Q60" i="1"/>
  <c r="Q56" i="1"/>
  <c r="Q52" i="1"/>
  <c r="Q48" i="1"/>
  <c r="Q44" i="1"/>
  <c r="Q40" i="1"/>
  <c r="Q36" i="1"/>
  <c r="Q32" i="1"/>
  <c r="Q28" i="1"/>
  <c r="Q24" i="1"/>
  <c r="Q103" i="1"/>
  <c r="Q99" i="1"/>
  <c r="Q95" i="1"/>
  <c r="Q91" i="1"/>
  <c r="Q87" i="1"/>
  <c r="Q83" i="1"/>
  <c r="Q79" i="1"/>
  <c r="Q75" i="1"/>
  <c r="Q71" i="1"/>
  <c r="Q67" i="1"/>
  <c r="Q63" i="1"/>
  <c r="Q59" i="1"/>
  <c r="Q55" i="1"/>
  <c r="Q51" i="1"/>
  <c r="Q47" i="1"/>
  <c r="Q43" i="1"/>
  <c r="Q39" i="1"/>
  <c r="Q35" i="1"/>
  <c r="Q31" i="1"/>
  <c r="Q27" i="1"/>
  <c r="Q23" i="1"/>
  <c r="AG28" i="1" l="1"/>
  <c r="F9" i="1" s="1"/>
  <c r="AG26" i="1"/>
  <c r="F7" i="1" s="1"/>
  <c r="AG23" i="1"/>
  <c r="F4" i="1" s="1"/>
  <c r="AG25" i="1"/>
  <c r="F6" i="1" s="1"/>
  <c r="AG24" i="1"/>
  <c r="F5" i="1" s="1"/>
  <c r="AG29" i="1"/>
  <c r="F10" i="1" s="1"/>
  <c r="R53" i="1"/>
  <c r="R51" i="1"/>
  <c r="R41" i="1"/>
  <c r="R39" i="1"/>
  <c r="R101" i="1"/>
  <c r="R99" i="1"/>
  <c r="R44" i="1"/>
  <c r="R42" i="1"/>
  <c r="R76" i="1"/>
  <c r="R74" i="1"/>
  <c r="R65" i="1"/>
  <c r="R63" i="1"/>
  <c r="R77" i="1"/>
  <c r="R75" i="1"/>
  <c r="R48" i="1"/>
  <c r="R46" i="1"/>
  <c r="R64" i="1"/>
  <c r="R62" i="1"/>
  <c r="R80" i="1"/>
  <c r="R78" i="1"/>
  <c r="R96" i="1"/>
  <c r="R94" i="1"/>
  <c r="R37" i="1"/>
  <c r="R35" i="1"/>
  <c r="R73" i="1"/>
  <c r="R71" i="1"/>
  <c r="R105" i="1"/>
  <c r="R103" i="1"/>
  <c r="R25" i="1"/>
  <c r="R23" i="1"/>
  <c r="R57" i="1"/>
  <c r="R55" i="1"/>
  <c r="R85" i="1"/>
  <c r="R83" i="1"/>
  <c r="R36" i="1"/>
  <c r="R34" i="1"/>
  <c r="R52" i="1"/>
  <c r="R50" i="1"/>
  <c r="R68" i="1"/>
  <c r="R66" i="1"/>
  <c r="R84" i="1"/>
  <c r="R82" i="1"/>
  <c r="R100" i="1"/>
  <c r="R98" i="1"/>
  <c r="R89" i="1"/>
  <c r="R87" i="1"/>
  <c r="R69" i="1"/>
  <c r="R67" i="1"/>
  <c r="R28" i="1"/>
  <c r="R26" i="1"/>
  <c r="R60" i="1"/>
  <c r="R58" i="1"/>
  <c r="R92" i="1"/>
  <c r="R90" i="1"/>
  <c r="R29" i="1"/>
  <c r="R27" i="1"/>
  <c r="R97" i="1"/>
  <c r="R95" i="1"/>
  <c r="R49" i="1"/>
  <c r="R47" i="1"/>
  <c r="R32" i="1"/>
  <c r="R30" i="1"/>
  <c r="R45" i="1"/>
  <c r="R43" i="1"/>
  <c r="R81" i="1"/>
  <c r="R79" i="1"/>
  <c r="R33" i="1"/>
  <c r="R31" i="1"/>
  <c r="R61" i="1"/>
  <c r="R59" i="1"/>
  <c r="R93" i="1"/>
  <c r="R91" i="1"/>
  <c r="R24" i="1"/>
  <c r="R22" i="1"/>
  <c r="R40" i="1"/>
  <c r="R38" i="1"/>
  <c r="R56" i="1"/>
  <c r="R54" i="1"/>
  <c r="R72" i="1"/>
  <c r="R70" i="1"/>
  <c r="R88" i="1"/>
  <c r="R86" i="1"/>
  <c r="R104" i="1"/>
  <c r="R102" i="1"/>
  <c r="F12" i="1" l="1"/>
</calcChain>
</file>

<file path=xl/comments1.xml><?xml version="1.0" encoding="utf-8"?>
<comments xmlns="http://schemas.openxmlformats.org/spreadsheetml/2006/main">
  <authors>
    <author xml:space="preserve"> </author>
    <author>01404747</author>
  </authors>
  <commentList>
    <comment ref="F1" authorId="0">
      <text>
        <r>
          <rPr>
            <b/>
            <sz val="8"/>
            <color indexed="81"/>
            <rFont val="Tahoma"/>
            <family val="2"/>
          </rPr>
          <t xml:space="preserve"> :</t>
        </r>
        <r>
          <rPr>
            <sz val="8"/>
            <color indexed="81"/>
            <rFont val="Tahoma"/>
            <family val="2"/>
          </rPr>
          <t xml:space="preserve">
No shift option - the shifted ones (giving the output in unconventional age groups is just too confusing)</t>
        </r>
      </text>
    </comment>
    <comment ref="H8" authorId="1">
      <text>
        <r>
          <rPr>
            <sz val="9"/>
            <color indexed="81"/>
            <rFont val="Tahoma"/>
            <family val="2"/>
          </rPr>
          <t>Root Mean Square Error; a measure of goodness of fit.</t>
        </r>
      </text>
    </comment>
  </commentList>
</comments>
</file>

<file path=xl/sharedStrings.xml><?xml version="1.0" encoding="utf-8"?>
<sst xmlns="http://schemas.openxmlformats.org/spreadsheetml/2006/main" count="144" uniqueCount="99">
  <si>
    <t>15-19</t>
  </si>
  <si>
    <t>20-24</t>
  </si>
  <si>
    <t>25-29</t>
  </si>
  <si>
    <t>30-34</t>
  </si>
  <si>
    <t>35-39</t>
  </si>
  <si>
    <t>40-44</t>
  </si>
  <si>
    <t>45-49</t>
  </si>
  <si>
    <t>e(x)</t>
  </si>
  <si>
    <t>g(x)</t>
  </si>
  <si>
    <t>Ys(x)</t>
  </si>
  <si>
    <t>FM(x)</t>
  </si>
  <si>
    <t>fm(x)</t>
  </si>
  <si>
    <t>10-14</t>
  </si>
  <si>
    <t>Age x</t>
  </si>
  <si>
    <t>Fs(x)/F</t>
  </si>
  <si>
    <t>i</t>
  </si>
  <si>
    <t>P(i)/P</t>
  </si>
  <si>
    <t>Ys(i)</t>
  </si>
  <si>
    <t>e(i)</t>
  </si>
  <si>
    <t>g(i)</t>
  </si>
  <si>
    <t>P(i)/P(i+1)</t>
  </si>
  <si>
    <t>Age (x)</t>
  </si>
  <si>
    <t>z(i)</t>
  </si>
  <si>
    <t>z(i)-e(i)</t>
  </si>
  <si>
    <t>Alpha</t>
  </si>
  <si>
    <t>Beta</t>
  </si>
  <si>
    <t>P</t>
  </si>
  <si>
    <t>alpha</t>
  </si>
  <si>
    <t>n</t>
  </si>
  <si>
    <t>Actual cumulant</t>
  </si>
  <si>
    <t>Ratio</t>
  </si>
  <si>
    <t>Phi</t>
  </si>
  <si>
    <t>Phi'</t>
  </si>
  <si>
    <t>Phi''</t>
  </si>
  <si>
    <t>P-LEVEL</t>
  </si>
  <si>
    <t>Age (i)</t>
  </si>
  <si>
    <t>50+</t>
  </si>
  <si>
    <t>50-54</t>
  </si>
  <si>
    <t>Ages</t>
  </si>
  <si>
    <t>Booth</t>
  </si>
  <si>
    <t>Fs(x)</t>
  </si>
  <si>
    <t>x</t>
  </si>
  <si>
    <t>Kenya</t>
  </si>
  <si>
    <t>P(i.s)</t>
  </si>
  <si>
    <t>Figure 1</t>
  </si>
  <si>
    <t>Figure 2</t>
  </si>
  <si>
    <t>exp(-exp(-Y(i))</t>
  </si>
  <si>
    <t>exp(-exp(-Y(i)))</t>
  </si>
  <si>
    <t>F(x)</t>
  </si>
  <si>
    <t>f(x)</t>
  </si>
  <si>
    <t>TF</t>
  </si>
  <si>
    <t>Estimation de la fécondité récente par un modèle relationnel de Gompertz appliqué aux parités tirées de deux enquêtes - Instructions</t>
  </si>
  <si>
    <t>Cette méthode est présentée dans:</t>
  </si>
  <si>
    <t xml:space="preserve">Cette feuille de calcul estime la fécondité à partir des parités moyennes déclarées dans deux recensements ou enquêtes réalisés à 5 ou 10 ans d'écart. </t>
  </si>
  <si>
    <t>Saisie des données</t>
  </si>
  <si>
    <t xml:space="preserve">Saisir le nom du pays dans l'encadré vert à la droite de cette cellule. </t>
  </si>
  <si>
    <t xml:space="preserve">(Pour savoir comment calculer les parités moyennes à partir des données de recensement ou d'enquête, consulter les sections appropriées du manuel) </t>
  </si>
  <si>
    <r>
      <t xml:space="preserve">Commencer par placer un "1" dans chacune des cellules </t>
    </r>
    <r>
      <rPr>
        <b/>
        <sz val="12"/>
        <rFont val="Arial"/>
        <family val="2"/>
      </rPr>
      <t>E3:E11</t>
    </r>
    <r>
      <rPr>
        <sz val="12"/>
        <rFont val="Arial"/>
        <family val="2"/>
      </rPr>
      <t xml:space="preserve">. Procéder ainsi signifie que la procédure d'ajustement du modèle commence par ajuster un modèle relationnel de Gompertz à tous les points des données relatives à la parité. </t>
    </r>
  </si>
  <si>
    <r>
      <t xml:space="preserve">Examiner le premier graphique sur la feuille </t>
    </r>
    <r>
      <rPr>
        <b/>
        <i/>
        <sz val="12"/>
        <rFont val="Arial"/>
        <family val="2"/>
      </rPr>
      <t>Graphiques diagnostiques</t>
    </r>
    <r>
      <rPr>
        <sz val="12"/>
        <rFont val="Arial"/>
        <family val="2"/>
      </rPr>
      <t xml:space="preserve">; identifier d'éventuelles erreurs dans les données; éliminer ensuite tour à tour des points du modèle (en supprimant les 1 dans les cellules </t>
    </r>
    <r>
      <rPr>
        <b/>
        <sz val="12"/>
        <rFont val="Arial"/>
        <family val="2"/>
      </rPr>
      <t>E3:E11</t>
    </r>
    <r>
      <rPr>
        <sz val="12"/>
        <rFont val="Arial"/>
        <family val="2"/>
      </rPr>
      <t xml:space="preserve"> sur la feuille </t>
    </r>
    <r>
      <rPr>
        <b/>
        <i/>
        <sz val="12"/>
        <rFont val="Arial"/>
        <family val="2"/>
      </rPr>
      <t>Méthode</t>
    </r>
    <r>
      <rPr>
        <sz val="12"/>
        <rFont val="Arial"/>
        <family val="2"/>
      </rPr>
      <t xml:space="preserve">, comme expliqué sur le site web à l'adresse citée à la cellule </t>
    </r>
    <r>
      <rPr>
        <b/>
        <sz val="12"/>
        <rFont val="Arial"/>
        <family val="2"/>
      </rPr>
      <t>A4</t>
    </r>
    <r>
      <rPr>
        <sz val="12"/>
        <rFont val="Arial"/>
        <family val="2"/>
      </rPr>
      <t xml:space="preserve">), jusqu'à ce que l'ajustement soit aussi bon que possible. </t>
    </r>
  </si>
  <si>
    <t>Pays</t>
  </si>
  <si>
    <t>Année de la 1ère enquête</t>
  </si>
  <si>
    <t>Intervalle entre deux enquêtes (Années)</t>
  </si>
  <si>
    <t>Selectionné</t>
  </si>
  <si>
    <t>Taux de fécondité par âge corrigés</t>
  </si>
  <si>
    <t>(âge réel)</t>
  </si>
  <si>
    <t>T-chapeau</t>
  </si>
  <si>
    <t>REQM</t>
  </si>
  <si>
    <t>Modèle relationnel de Gompertz appliqué aux P-points seulement</t>
  </si>
  <si>
    <t>Groupe (i)</t>
  </si>
  <si>
    <t>Courbe de fécondité ajustée</t>
  </si>
  <si>
    <t>Ajustement linéaire</t>
  </si>
  <si>
    <t>Constantes</t>
  </si>
  <si>
    <t>Régressions</t>
  </si>
  <si>
    <t>somme_y</t>
  </si>
  <si>
    <t>somme_x</t>
  </si>
  <si>
    <t>somme_xy</t>
  </si>
  <si>
    <t>somme_xx</t>
  </si>
  <si>
    <t>béta (pente)</t>
  </si>
  <si>
    <t>constante</t>
  </si>
  <si>
    <t>Pas décalage</t>
  </si>
  <si>
    <t xml:space="preserve">(utilisé pour les taux de fécondité définitifs aux âges conventionnels) </t>
  </si>
  <si>
    <t>Y(x) ajusté</t>
  </si>
  <si>
    <t>Y(i) ajusté</t>
  </si>
  <si>
    <t>Modèle P</t>
  </si>
  <si>
    <t>Calcul des cumuls</t>
  </si>
  <si>
    <t>Pas de décalage (âge à la naissance)</t>
  </si>
  <si>
    <t>CUMULS-P</t>
  </si>
  <si>
    <t>Groupe d'âge</t>
  </si>
  <si>
    <t>Valeur des cumuls</t>
  </si>
  <si>
    <t>F-pas de décalage</t>
  </si>
  <si>
    <t>Parités P(x-5,5)</t>
  </si>
  <si>
    <t>Période entre enquêtes</t>
  </si>
  <si>
    <t xml:space="preserve">Saisir l'année à laquelle se réfère la première série de parités moyennes dans l'encadré vert à droite de cette cellule. </t>
  </si>
  <si>
    <t xml:space="preserve">Indiquer l'intervalle en années entre les deux enquêtes. A moins que la fécondité évolue très rapidement, il n'est pas essentiel que l'intervalle soit exactement de cinq ou dix ans, car les parités moyennes ne changent que lentement. En choisissant "zéro", on obtient des taux de fécondité par âge dans l'hypothèse où les parités sont exactes et où la fécondité a été constante pendant une longue période. </t>
  </si>
  <si>
    <r>
      <t xml:space="preserve">Placer les parités moyennes calculées (si nécessaire après une correction d'el-Badry) à partir des données de la première enquête par âge de la mère au recensement ou à l'enquête dans les cellules </t>
    </r>
    <r>
      <rPr>
        <b/>
        <sz val="12"/>
        <rFont val="Arial"/>
        <family val="2"/>
      </rPr>
      <t>B3:B11</t>
    </r>
    <r>
      <rPr>
        <sz val="12"/>
        <rFont val="Arial"/>
        <family val="2"/>
      </rPr>
      <t xml:space="preserve"> de la feuille </t>
    </r>
    <r>
      <rPr>
        <b/>
        <i/>
        <sz val="12"/>
        <rFont val="Arial"/>
        <family val="2"/>
      </rPr>
      <t>Méthode.</t>
    </r>
  </si>
  <si>
    <r>
      <t xml:space="preserve">Placer les parités moyennes calculées (si nécessaire après une correction d'el-Badry) à partir des données de la deuxième enquête par âge de la mère au recensement ou à l'enquête dans les cellules </t>
    </r>
    <r>
      <rPr>
        <b/>
        <sz val="12"/>
        <rFont val="Arial"/>
        <family val="2"/>
      </rPr>
      <t>C3:C11</t>
    </r>
    <r>
      <rPr>
        <sz val="12"/>
        <rFont val="Arial"/>
        <family val="2"/>
      </rPr>
      <t xml:space="preserve"> de la feuille </t>
    </r>
    <r>
      <rPr>
        <b/>
        <i/>
        <sz val="12"/>
        <rFont val="Arial"/>
        <family val="2"/>
      </rPr>
      <t>Méthode.</t>
    </r>
  </si>
  <si>
    <r>
      <t xml:space="preserve">Le niveau de fécondité correspondant au modèle ajusté est donné par les cellules </t>
    </r>
    <r>
      <rPr>
        <b/>
        <sz val="12"/>
        <rFont val="Arial"/>
        <family val="2"/>
      </rPr>
      <t>I7</t>
    </r>
    <r>
      <rPr>
        <sz val="12"/>
        <rFont val="Arial"/>
        <family val="2"/>
      </rPr>
      <t xml:space="preserve">. Les taux de fécondité par âge, pour des âges conventionnels (c'est-à-dire non décalés), sont donnés aux cellules </t>
    </r>
    <r>
      <rPr>
        <b/>
        <sz val="12"/>
        <rFont val="Arial"/>
        <family val="2"/>
      </rPr>
      <t>F3:F11</t>
    </r>
    <r>
      <rPr>
        <sz val="12"/>
        <rFont val="Arial"/>
        <family val="2"/>
      </rPr>
      <t xml:space="preserve"> de la feuille </t>
    </r>
    <r>
      <rPr>
        <b/>
        <i/>
        <sz val="12"/>
        <rFont val="Arial"/>
        <family val="2"/>
      </rPr>
      <t>Méthode</t>
    </r>
    <r>
      <rPr>
        <sz val="12"/>
        <rFont val="Arial"/>
        <family val="2"/>
      </rPr>
      <t xml:space="preserve">. </t>
    </r>
  </si>
  <si>
    <t>http://demographicestimation.iussp.org/fr/content/estimation-de-la-fécondité-à-partir-des-accroissements-de-parité-des-cohortes</t>
  </si>
  <si>
    <r>
      <t xml:space="preserve">Vérifier que les valeurs de α et β définissant le modèle relationnel, dans les cellules </t>
    </r>
    <r>
      <rPr>
        <b/>
        <sz val="12"/>
        <rFont val="Arial"/>
        <family val="2"/>
      </rPr>
      <t>H5:I6</t>
    </r>
    <r>
      <rPr>
        <sz val="12"/>
        <rFont val="Arial"/>
        <family val="2"/>
      </rPr>
      <t xml:space="preserve"> sur la feuille </t>
    </r>
    <r>
      <rPr>
        <b/>
        <i/>
        <sz val="12"/>
        <rFont val="Arial"/>
        <family val="2"/>
      </rPr>
      <t>Méthode</t>
    </r>
    <r>
      <rPr>
        <sz val="12"/>
        <rFont val="Arial"/>
        <family val="2"/>
      </rPr>
      <t xml:space="preserve">, sont comprises dans l'intervalle requis. (Si elles ne le sont pas, le mot "attention" s'affichera auprès des valeurs, dans la colonne </t>
    </r>
    <r>
      <rPr>
        <b/>
        <sz val="12"/>
        <rFont val="Arial"/>
        <family val="2"/>
      </rPr>
      <t>K</t>
    </r>
    <r>
      <rPr>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</si>
</sst>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000"/>
    <numFmt numFmtId="166" formatCode="0.000"/>
    <numFmt numFmtId="167" formatCode="0.00000"/>
    <numFmt numFmtId="168" formatCode="_ * #,##0.0000_ ;_ * \-#,##0.0000_ ;_ * &quot;-&quot;??_ ;_ @_ "/>
  </numFmts>
  <fonts count="28" x14ac:knownFonts="1">
    <font>
      <sz val="10"/>
      <name val="Arial"/>
    </font>
    <font>
      <sz val="11"/>
      <color rgb="FF006100"/>
      <name val="Calibri"/>
      <family val="2"/>
      <scheme val="minor"/>
    </font>
    <font>
      <sz val="11"/>
      <color rgb="FF9C6500"/>
      <name val="Calibri"/>
      <family val="2"/>
      <scheme val="minor"/>
    </font>
    <font>
      <sz val="8"/>
      <color indexed="81"/>
      <name val="Tahoma"/>
      <family val="2"/>
    </font>
    <font>
      <b/>
      <sz val="8"/>
      <color indexed="81"/>
      <name val="Tahoma"/>
      <family val="2"/>
    </font>
    <font>
      <sz val="10"/>
      <name val="Arial"/>
      <family val="2"/>
    </font>
    <font>
      <sz val="10"/>
      <name val="Arial"/>
      <family val="2"/>
    </font>
    <font>
      <b/>
      <sz val="12"/>
      <name val="Arial"/>
      <family val="2"/>
    </font>
    <font>
      <sz val="12"/>
      <name val="Arial"/>
      <family val="2"/>
    </font>
    <font>
      <b/>
      <sz val="12"/>
      <color rgb="FF006100"/>
      <name val="Arial"/>
      <family val="2"/>
    </font>
    <font>
      <sz val="12"/>
      <color rgb="FF006100"/>
      <name val="Arial"/>
      <family val="2"/>
    </font>
    <font>
      <sz val="12"/>
      <color theme="1"/>
      <name val="Arial"/>
      <family val="2"/>
    </font>
    <font>
      <b/>
      <i/>
      <sz val="12"/>
      <name val="Arial"/>
      <family val="2"/>
    </font>
    <font>
      <sz val="10"/>
      <color theme="1"/>
      <name val="Arial"/>
      <family val="2"/>
    </font>
    <font>
      <b/>
      <sz val="10"/>
      <name val="Arial"/>
      <family val="2"/>
    </font>
    <font>
      <b/>
      <sz val="10"/>
      <color theme="1"/>
      <name val="Arial"/>
      <family val="2"/>
    </font>
    <font>
      <sz val="10"/>
      <color rgb="FF9C6500"/>
      <name val="Arial"/>
      <family val="2"/>
    </font>
    <font>
      <sz val="10"/>
      <color rgb="FF006100"/>
      <name val="Arial"/>
      <family val="2"/>
    </font>
    <font>
      <sz val="10"/>
      <color indexed="62"/>
      <name val="Arial"/>
      <family val="2"/>
    </font>
    <font>
      <b/>
      <u/>
      <sz val="10"/>
      <name val="Arial"/>
      <family val="2"/>
    </font>
    <font>
      <sz val="11"/>
      <name val="Arial Narrow"/>
      <family val="2"/>
    </font>
    <font>
      <b/>
      <sz val="11"/>
      <name val="Arial Narrow"/>
      <family val="2"/>
    </font>
    <font>
      <b/>
      <sz val="11"/>
      <color theme="1"/>
      <name val="Arial Narrow"/>
      <family val="2"/>
    </font>
    <font>
      <b/>
      <u/>
      <sz val="11"/>
      <name val="Arial Narrow"/>
      <family val="2"/>
    </font>
    <font>
      <b/>
      <sz val="10"/>
      <color rgb="FF9C6500"/>
      <name val="Arial"/>
      <family val="2"/>
    </font>
    <font>
      <sz val="9"/>
      <color indexed="81"/>
      <name val="Tahoma"/>
      <family val="2"/>
    </font>
    <font>
      <sz val="11"/>
      <color rgb="FF9C6500"/>
      <name val="Arial Narrow"/>
      <family val="2"/>
    </font>
    <font>
      <sz val="11"/>
      <color rgb="FF0000CC"/>
      <name val="Arial"/>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rgb="FFFFEB9C"/>
        <bgColor indexed="64"/>
      </patternFill>
    </fill>
    <fill>
      <patternFill patternType="solid">
        <fgColor rgb="FF00B050"/>
        <bgColor indexed="64"/>
      </patternFill>
    </fill>
  </fills>
  <borders count="21">
    <border>
      <left/>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164" fontId="6" fillId="0" borderId="0" applyFont="0" applyFill="0" applyBorder="0" applyAlignment="0" applyProtection="0"/>
    <xf numFmtId="0" fontId="5" fillId="0" borderId="0"/>
  </cellStyleXfs>
  <cellXfs count="109">
    <xf numFmtId="0" fontId="0" fillId="0" borderId="0" xfId="0"/>
    <xf numFmtId="0" fontId="5" fillId="0" borderId="0" xfId="4" applyFont="1"/>
    <xf numFmtId="0" fontId="8" fillId="0" borderId="0" xfId="4" applyFont="1"/>
    <xf numFmtId="0" fontId="5" fillId="0" borderId="0" xfId="4" applyFont="1" applyAlignment="1">
      <alignment horizontal="center"/>
    </xf>
    <xf numFmtId="0" fontId="5" fillId="0" borderId="0" xfId="4" applyFont="1" applyAlignment="1">
      <alignment wrapText="1"/>
    </xf>
    <xf numFmtId="0" fontId="7" fillId="0" borderId="0" xfId="4" applyFont="1"/>
    <xf numFmtId="0" fontId="8" fillId="0" borderId="0" xfId="4" applyFont="1" applyAlignment="1">
      <alignment vertical="top"/>
    </xf>
    <xf numFmtId="0" fontId="8" fillId="0" borderId="0" xfId="4" applyFont="1" applyAlignment="1">
      <alignment wrapText="1"/>
    </xf>
    <xf numFmtId="0" fontId="8" fillId="0" borderId="11" xfId="4" applyFont="1" applyBorder="1" applyAlignment="1">
      <alignment horizontal="right"/>
    </xf>
    <xf numFmtId="0" fontId="8" fillId="0" borderId="10" xfId="4" applyFont="1" applyBorder="1" applyAlignment="1">
      <alignment horizontal="right"/>
    </xf>
    <xf numFmtId="0" fontId="5" fillId="0" borderId="0" xfId="4" applyFont="1" applyAlignment="1">
      <alignment vertical="top"/>
    </xf>
    <xf numFmtId="0" fontId="8" fillId="0" borderId="0" xfId="4" applyFont="1" applyFill="1" applyBorder="1" applyAlignment="1">
      <alignment horizontal="right"/>
    </xf>
    <xf numFmtId="0" fontId="10" fillId="0" borderId="0" xfId="1" applyFont="1" applyFill="1" applyBorder="1" applyAlignment="1">
      <alignment horizontal="center"/>
    </xf>
    <xf numFmtId="0" fontId="5" fillId="0" borderId="0" xfId="0" applyFont="1" applyFill="1" applyProtection="1"/>
    <xf numFmtId="0" fontId="5" fillId="0" borderId="0" xfId="0" applyFont="1" applyProtection="1"/>
    <xf numFmtId="165" fontId="5" fillId="0" borderId="0" xfId="0" applyNumberFormat="1" applyFont="1" applyProtection="1"/>
    <xf numFmtId="0" fontId="14" fillId="0" borderId="0" xfId="0" applyFont="1" applyProtection="1"/>
    <xf numFmtId="0" fontId="14" fillId="0" borderId="0" xfId="0" applyFont="1" applyAlignment="1" applyProtection="1">
      <alignment horizontal="right"/>
    </xf>
    <xf numFmtId="0" fontId="14" fillId="0" borderId="0" xfId="0" applyFont="1" applyBorder="1" applyAlignment="1" applyProtection="1">
      <alignment vertical="top" wrapText="1"/>
    </xf>
    <xf numFmtId="0" fontId="5" fillId="0" borderId="0" xfId="0" applyFont="1" applyBorder="1" applyAlignment="1" applyProtection="1">
      <alignment horizontal="right" vertical="top" wrapText="1"/>
    </xf>
    <xf numFmtId="165" fontId="5" fillId="0" borderId="0" xfId="0" applyNumberFormat="1" applyFont="1" applyBorder="1" applyAlignment="1" applyProtection="1">
      <alignment horizontal="right" vertical="top" wrapText="1"/>
    </xf>
    <xf numFmtId="0" fontId="18" fillId="0" borderId="0" xfId="0" applyFont="1" applyFill="1" applyProtection="1"/>
    <xf numFmtId="0" fontId="14" fillId="0" borderId="0" xfId="0" applyFont="1" applyFill="1" applyProtection="1"/>
    <xf numFmtId="0" fontId="5" fillId="0" borderId="0" xfId="0" applyFont="1" applyAlignment="1" applyProtection="1">
      <alignment vertical="top" wrapText="1"/>
    </xf>
    <xf numFmtId="165" fontId="5" fillId="0" borderId="0" xfId="0" applyNumberFormat="1" applyFont="1" applyAlignment="1" applyProtection="1">
      <alignment horizontal="right" vertical="top" wrapText="1"/>
    </xf>
    <xf numFmtId="0" fontId="5" fillId="0" borderId="2" xfId="0" applyFont="1" applyBorder="1" applyAlignment="1" applyProtection="1">
      <alignment vertical="top" wrapText="1"/>
    </xf>
    <xf numFmtId="165" fontId="5" fillId="0" borderId="2" xfId="0" applyNumberFormat="1" applyFont="1" applyBorder="1" applyAlignment="1" applyProtection="1">
      <alignment vertical="top" wrapText="1"/>
    </xf>
    <xf numFmtId="165" fontId="5" fillId="0" borderId="2" xfId="0" applyNumberFormat="1" applyFont="1" applyBorder="1" applyAlignment="1" applyProtection="1">
      <alignment horizontal="right" vertical="top" wrapText="1"/>
    </xf>
    <xf numFmtId="167" fontId="5" fillId="0" borderId="0" xfId="0" applyNumberFormat="1" applyFont="1" applyProtection="1"/>
    <xf numFmtId="0" fontId="5" fillId="0" borderId="0" xfId="0" applyFont="1" applyAlignment="1" applyProtection="1">
      <alignment horizontal="right" vertical="top" wrapText="1"/>
    </xf>
    <xf numFmtId="165" fontId="5" fillId="0" borderId="0" xfId="0" applyNumberFormat="1" applyFont="1" applyAlignment="1" applyProtection="1">
      <alignment vertical="top" wrapText="1"/>
    </xf>
    <xf numFmtId="165" fontId="14" fillId="0" borderId="0" xfId="0" applyNumberFormat="1" applyFont="1" applyProtection="1"/>
    <xf numFmtId="1" fontId="5" fillId="0" borderId="0" xfId="0" applyNumberFormat="1" applyFont="1" applyProtection="1"/>
    <xf numFmtId="0" fontId="5" fillId="0" borderId="2" xfId="0" applyFont="1" applyBorder="1" applyAlignment="1" applyProtection="1">
      <alignment horizontal="right"/>
    </xf>
    <xf numFmtId="0" fontId="5" fillId="0" borderId="2" xfId="0" applyFont="1" applyBorder="1" applyProtection="1"/>
    <xf numFmtId="1" fontId="5" fillId="0" borderId="2" xfId="0" applyNumberFormat="1" applyFont="1" applyBorder="1" applyAlignment="1" applyProtection="1">
      <alignment horizontal="right" vertical="top" wrapText="1"/>
    </xf>
    <xf numFmtId="165" fontId="5" fillId="0" borderId="0" xfId="0" applyNumberFormat="1" applyFont="1" applyBorder="1" applyAlignment="1" applyProtection="1">
      <alignment vertical="top" wrapText="1"/>
    </xf>
    <xf numFmtId="0" fontId="19" fillId="0" borderId="0" xfId="0" applyFont="1" applyBorder="1" applyAlignment="1" applyProtection="1">
      <alignment vertical="top" wrapText="1"/>
    </xf>
    <xf numFmtId="0" fontId="20" fillId="0" borderId="0" xfId="0" applyFont="1" applyProtection="1"/>
    <xf numFmtId="0" fontId="20" fillId="0" borderId="0" xfId="0" applyFont="1" applyFill="1" applyProtection="1"/>
    <xf numFmtId="165" fontId="20" fillId="0" borderId="0" xfId="0" applyNumberFormat="1" applyFont="1" applyProtection="1"/>
    <xf numFmtId="0" fontId="21" fillId="0" borderId="1" xfId="0" applyFont="1" applyBorder="1" applyAlignment="1" applyProtection="1">
      <alignment vertical="top" wrapText="1"/>
    </xf>
    <xf numFmtId="0" fontId="21" fillId="0" borderId="2" xfId="0" applyFont="1" applyBorder="1" applyAlignment="1" applyProtection="1">
      <alignment vertical="top" wrapText="1"/>
    </xf>
    <xf numFmtId="0" fontId="21" fillId="0" borderId="8" xfId="0" applyFont="1" applyBorder="1" applyAlignment="1" applyProtection="1">
      <alignment vertical="top" wrapText="1"/>
    </xf>
    <xf numFmtId="0" fontId="21" fillId="0" borderId="16" xfId="0" applyFont="1" applyBorder="1" applyProtection="1"/>
    <xf numFmtId="0" fontId="21" fillId="0" borderId="17" xfId="0" applyFont="1" applyBorder="1" applyProtection="1"/>
    <xf numFmtId="166" fontId="9" fillId="2" borderId="12" xfId="1" applyNumberFormat="1" applyFont="1" applyBorder="1" applyAlignment="1" applyProtection="1">
      <alignment horizontal="center"/>
      <protection locked="0"/>
    </xf>
    <xf numFmtId="0" fontId="10" fillId="2" borderId="13" xfId="1" applyFont="1" applyBorder="1" applyAlignment="1" applyProtection="1">
      <alignment horizontal="center"/>
      <protection locked="0"/>
    </xf>
    <xf numFmtId="1" fontId="9" fillId="2" borderId="15" xfId="1" applyNumberFormat="1" applyFont="1" applyBorder="1" applyAlignment="1" applyProtection="1">
      <alignment horizontal="center"/>
      <protection locked="0"/>
    </xf>
    <xf numFmtId="0" fontId="11" fillId="0" borderId="0" xfId="4" applyFont="1" applyFill="1" applyBorder="1" applyAlignment="1" applyProtection="1">
      <alignment horizontal="right"/>
    </xf>
    <xf numFmtId="0" fontId="10" fillId="0" borderId="0" xfId="1" applyFont="1" applyFill="1" applyBorder="1" applyAlignment="1" applyProtection="1">
      <alignment horizontal="center"/>
    </xf>
    <xf numFmtId="0" fontId="5" fillId="0" borderId="0" xfId="4" applyFont="1" applyProtection="1"/>
    <xf numFmtId="0" fontId="8" fillId="0" borderId="0" xfId="4" applyFont="1" applyProtection="1"/>
    <xf numFmtId="0" fontId="5" fillId="0" borderId="0" xfId="4" applyFont="1" applyAlignment="1" applyProtection="1">
      <alignment horizontal="center"/>
    </xf>
    <xf numFmtId="0" fontId="8" fillId="0" borderId="0" xfId="4" applyFont="1" applyAlignment="1" applyProtection="1">
      <alignment wrapText="1"/>
    </xf>
    <xf numFmtId="166" fontId="21" fillId="0" borderId="0" xfId="1" applyNumberFormat="1" applyFont="1" applyFill="1" applyAlignment="1" applyProtection="1">
      <alignment horizontal="left"/>
    </xf>
    <xf numFmtId="166" fontId="21" fillId="0" borderId="0" xfId="1" applyNumberFormat="1" applyFont="1" applyFill="1" applyAlignment="1" applyProtection="1">
      <alignment horizontal="center"/>
    </xf>
    <xf numFmtId="0" fontId="22" fillId="0" borderId="0" xfId="0" applyFont="1" applyAlignment="1" applyProtection="1">
      <alignment horizontal="center"/>
    </xf>
    <xf numFmtId="0" fontId="21" fillId="0" borderId="0" xfId="0" applyFont="1" applyProtection="1"/>
    <xf numFmtId="0" fontId="5" fillId="0" borderId="0" xfId="0" applyFont="1" applyAlignment="1" applyProtection="1">
      <alignment horizontal="center"/>
    </xf>
    <xf numFmtId="0" fontId="5" fillId="0" borderId="0" xfId="0" applyFont="1" applyAlignment="1" applyProtection="1">
      <alignment horizontal="right"/>
    </xf>
    <xf numFmtId="0" fontId="22" fillId="0" borderId="3" xfId="0" applyFont="1" applyBorder="1" applyProtection="1"/>
    <xf numFmtId="1" fontId="21" fillId="0" borderId="3" xfId="1" applyNumberFormat="1" applyFont="1" applyFill="1" applyBorder="1" applyAlignment="1" applyProtection="1">
      <alignment horizontal="right"/>
    </xf>
    <xf numFmtId="0" fontId="22" fillId="0" borderId="3" xfId="0" applyFont="1" applyBorder="1" applyAlignment="1" applyProtection="1">
      <alignment horizontal="center"/>
    </xf>
    <xf numFmtId="166" fontId="13" fillId="0" borderId="0" xfId="0" applyNumberFormat="1" applyFont="1" applyProtection="1"/>
    <xf numFmtId="0" fontId="17" fillId="0" borderId="0" xfId="1" applyFont="1" applyFill="1" applyAlignment="1" applyProtection="1">
      <alignment horizontal="right"/>
    </xf>
    <xf numFmtId="166" fontId="16" fillId="3" borderId="0" xfId="2" applyNumberFormat="1" applyFont="1" applyAlignment="1" applyProtection="1">
      <alignment horizontal="right"/>
    </xf>
    <xf numFmtId="168" fontId="5" fillId="0" borderId="0" xfId="3" applyNumberFormat="1" applyFont="1" applyFill="1" applyAlignment="1" applyProtection="1">
      <alignment horizontal="right"/>
    </xf>
    <xf numFmtId="0" fontId="16" fillId="3" borderId="0" xfId="2" applyFont="1" applyAlignment="1" applyProtection="1">
      <alignment horizontal="right"/>
    </xf>
    <xf numFmtId="167" fontId="16" fillId="3" borderId="0" xfId="2" applyNumberFormat="1" applyFont="1" applyAlignment="1" applyProtection="1">
      <alignment horizontal="right"/>
    </xf>
    <xf numFmtId="166" fontId="5" fillId="0" borderId="0" xfId="0" applyNumberFormat="1" applyFont="1" applyProtection="1"/>
    <xf numFmtId="166" fontId="5" fillId="0" borderId="0" xfId="0" applyNumberFormat="1" applyFont="1" applyFill="1" applyProtection="1"/>
    <xf numFmtId="2" fontId="16" fillId="3" borderId="0" xfId="2" applyNumberFormat="1" applyFont="1" applyAlignment="1" applyProtection="1">
      <alignment horizontal="right"/>
    </xf>
    <xf numFmtId="168" fontId="17" fillId="0" borderId="0" xfId="3" applyNumberFormat="1" applyFont="1" applyFill="1" applyAlignment="1" applyProtection="1">
      <alignment horizontal="right"/>
    </xf>
    <xf numFmtId="166" fontId="15" fillId="0" borderId="0" xfId="0" applyNumberFormat="1" applyFont="1" applyProtection="1"/>
    <xf numFmtId="2" fontId="24" fillId="3" borderId="0" xfId="2" applyNumberFormat="1" applyFont="1" applyAlignment="1" applyProtection="1">
      <alignment horizontal="right"/>
    </xf>
    <xf numFmtId="2" fontId="5" fillId="0" borderId="0" xfId="0" applyNumberFormat="1" applyFont="1" applyProtection="1"/>
    <xf numFmtId="0" fontId="5" fillId="0" borderId="0" xfId="0" applyFont="1" applyBorder="1" applyProtection="1"/>
    <xf numFmtId="1" fontId="5" fillId="0" borderId="0" xfId="0" applyNumberFormat="1" applyFont="1" applyAlignment="1" applyProtection="1"/>
    <xf numFmtId="165" fontId="5" fillId="0" borderId="0" xfId="0" applyNumberFormat="1" applyFont="1" applyAlignment="1" applyProtection="1">
      <alignment horizontal="right"/>
    </xf>
    <xf numFmtId="165" fontId="5" fillId="0" borderId="0" xfId="0" applyNumberFormat="1" applyFont="1" applyBorder="1" applyProtection="1"/>
    <xf numFmtId="166" fontId="17" fillId="0" borderId="0" xfId="1" applyNumberFormat="1" applyFont="1" applyFill="1" applyProtection="1"/>
    <xf numFmtId="165" fontId="17" fillId="0" borderId="0" xfId="1" applyNumberFormat="1" applyFont="1" applyFill="1" applyProtection="1"/>
    <xf numFmtId="0" fontId="17" fillId="2" borderId="0" xfId="1" applyFont="1" applyAlignment="1" applyProtection="1">
      <alignment horizontal="right"/>
      <protection locked="0"/>
    </xf>
    <xf numFmtId="165" fontId="17" fillId="2" borderId="0" xfId="1" applyNumberFormat="1" applyFont="1" applyAlignment="1" applyProtection="1">
      <alignment horizontal="right"/>
      <protection locked="0"/>
    </xf>
    <xf numFmtId="0" fontId="10" fillId="2" borderId="13" xfId="1" applyFont="1" applyBorder="1" applyAlignment="1" applyProtection="1">
      <alignment horizontal="center"/>
    </xf>
    <xf numFmtId="166" fontId="9" fillId="2" borderId="13" xfId="1" applyNumberFormat="1" applyFont="1" applyBorder="1" applyAlignment="1" applyProtection="1">
      <alignment horizontal="center"/>
    </xf>
    <xf numFmtId="0" fontId="8" fillId="0" borderId="14" xfId="4" applyFont="1" applyBorder="1" applyAlignment="1">
      <alignment horizontal="right" wrapText="1"/>
    </xf>
    <xf numFmtId="0" fontId="21" fillId="0" borderId="0" xfId="0" applyFont="1" applyBorder="1" applyAlignment="1" applyProtection="1">
      <alignment vertical="top" wrapText="1"/>
    </xf>
    <xf numFmtId="166" fontId="16" fillId="3" borderId="0" xfId="2" applyNumberFormat="1" applyFont="1" applyBorder="1" applyAlignment="1" applyProtection="1">
      <alignment horizontal="right"/>
    </xf>
    <xf numFmtId="0" fontId="26" fillId="3" borderId="0" xfId="2" applyFont="1" applyBorder="1" applyAlignment="1" applyProtection="1">
      <alignment horizontal="right"/>
    </xf>
    <xf numFmtId="0" fontId="13" fillId="6" borderId="4" xfId="0" applyFont="1" applyFill="1" applyBorder="1" applyProtection="1"/>
    <xf numFmtId="0" fontId="13" fillId="6" borderId="5" xfId="0" applyFont="1" applyFill="1" applyBorder="1" applyProtection="1"/>
    <xf numFmtId="0" fontId="13" fillId="6" borderId="6" xfId="0" quotePrefix="1" applyFont="1" applyFill="1" applyBorder="1" applyProtection="1"/>
    <xf numFmtId="0" fontId="13" fillId="6" borderId="18" xfId="0" quotePrefix="1" applyFont="1" applyFill="1" applyBorder="1" applyProtection="1"/>
    <xf numFmtId="0" fontId="13" fillId="6" borderId="19" xfId="0" quotePrefix="1" applyFont="1" applyFill="1" applyBorder="1" applyProtection="1"/>
    <xf numFmtId="0" fontId="13" fillId="6" borderId="20" xfId="0" quotePrefix="1" applyFont="1" applyFill="1" applyBorder="1" applyProtection="1"/>
    <xf numFmtId="0" fontId="13" fillId="6" borderId="7" xfId="0" quotePrefix="1" applyFont="1" applyFill="1" applyBorder="1" applyProtection="1"/>
    <xf numFmtId="0" fontId="13" fillId="6" borderId="0" xfId="0" applyFont="1" applyFill="1" applyProtection="1"/>
    <xf numFmtId="0" fontId="15" fillId="6" borderId="0" xfId="0" applyFont="1" applyFill="1" applyProtection="1"/>
    <xf numFmtId="0" fontId="13" fillId="6" borderId="0" xfId="0" quotePrefix="1" applyFont="1" applyFill="1" applyProtection="1"/>
    <xf numFmtId="166" fontId="9" fillId="0" borderId="0" xfId="1" applyNumberFormat="1" applyFont="1" applyFill="1" applyBorder="1" applyAlignment="1" applyProtection="1">
      <alignment horizontal="center"/>
      <protection locked="0"/>
    </xf>
    <xf numFmtId="0" fontId="7" fillId="5" borderId="9" xfId="4" applyFont="1" applyFill="1" applyBorder="1" applyAlignment="1">
      <alignment horizontal="center" wrapText="1"/>
    </xf>
    <xf numFmtId="0" fontId="7" fillId="5" borderId="0" xfId="4" applyFont="1" applyFill="1" applyBorder="1" applyAlignment="1">
      <alignment horizontal="center" wrapText="1"/>
    </xf>
    <xf numFmtId="0" fontId="8" fillId="0" borderId="0" xfId="4" applyFont="1" applyFill="1" applyAlignment="1">
      <alignment horizontal="left"/>
    </xf>
    <xf numFmtId="0" fontId="8" fillId="0" borderId="0" xfId="4" applyFont="1" applyAlignment="1">
      <alignment horizontal="left" vertical="top" wrapText="1"/>
    </xf>
    <xf numFmtId="0" fontId="23" fillId="0" borderId="8" xfId="0" applyFont="1" applyBorder="1" applyAlignment="1" applyProtection="1">
      <alignment horizontal="center" vertical="top" wrapText="1"/>
    </xf>
    <xf numFmtId="0" fontId="20" fillId="4" borderId="2" xfId="0" applyFont="1" applyFill="1" applyBorder="1" applyAlignment="1" applyProtection="1">
      <alignment horizontal="center"/>
    </xf>
    <xf numFmtId="166" fontId="27" fillId="0" borderId="0" xfId="1" applyNumberFormat="1" applyFont="1" applyFill="1" applyBorder="1" applyAlignment="1" applyProtection="1">
      <alignment horizontal="left"/>
      <protection locked="0"/>
    </xf>
  </cellXfs>
  <cellStyles count="5">
    <cellStyle name="Comma" xfId="3" builtinId="3"/>
    <cellStyle name="Good" xfId="1" builtinId="26"/>
    <cellStyle name="Neutral" xfId="2" builtinId="28"/>
    <cellStyle name="Normal" xfId="0" builtinId="0"/>
    <cellStyle name="Normal 3 2 2" xfId="4"/>
  </cellStyles>
  <dxfs count="2">
    <dxf>
      <font>
        <color rgb="FFC6EFCE"/>
      </font>
    </dxf>
    <dxf>
      <font>
        <color rgb="FFC6EFCE"/>
      </font>
    </dxf>
  </dxfs>
  <tableStyles count="0" defaultTableStyle="TableStyleMedium9" defaultPivotStyle="PivotStyleLight16"/>
  <colors>
    <mruColors>
      <color rgb="FF0000CC"/>
      <color rgb="FFC6EFCE"/>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Méthode!$A$1</c:f>
          <c:strCache>
            <c:ptCount val="1"/>
            <c:pt idx="0">
              <c:v>Kenya  1989-1999</c:v>
            </c:pt>
          </c:strCache>
        </c:strRef>
      </c:tx>
      <c:layout/>
      <c:overlay val="0"/>
    </c:title>
    <c:autoTitleDeleted val="0"/>
    <c:plotArea>
      <c:layout/>
      <c:lineChart>
        <c:grouping val="standard"/>
        <c:varyColors val="0"/>
        <c:ser>
          <c:idx val="0"/>
          <c:order val="0"/>
          <c:tx>
            <c:strRef>
              <c:f>Méthode!$F$1:$F$2</c:f>
              <c:strCache>
                <c:ptCount val="1"/>
                <c:pt idx="0">
                  <c:v>Taux de fécondité par âge corrigés (âge réel)</c:v>
                </c:pt>
              </c:strCache>
            </c:strRef>
          </c:tx>
          <c:marker>
            <c:symbol val="none"/>
          </c:marker>
          <c:cat>
            <c:strRef>
              <c:f>Méthode!$A$3:$A$11</c:f>
              <c:strCache>
                <c:ptCount val="9"/>
                <c:pt idx="0">
                  <c:v>10-14</c:v>
                </c:pt>
                <c:pt idx="1">
                  <c:v>15-19</c:v>
                </c:pt>
                <c:pt idx="2">
                  <c:v>20-24</c:v>
                </c:pt>
                <c:pt idx="3">
                  <c:v>25-29</c:v>
                </c:pt>
                <c:pt idx="4">
                  <c:v>30-34</c:v>
                </c:pt>
                <c:pt idx="5">
                  <c:v>35-39</c:v>
                </c:pt>
                <c:pt idx="6">
                  <c:v>40-44</c:v>
                </c:pt>
                <c:pt idx="7">
                  <c:v>45-49</c:v>
                </c:pt>
                <c:pt idx="8">
                  <c:v>50+</c:v>
                </c:pt>
              </c:strCache>
            </c:strRef>
          </c:cat>
          <c:val>
            <c:numRef>
              <c:f>Méthode!$F$3:$F$11</c:f>
              <c:numCache>
                <c:formatCode>0.000</c:formatCode>
                <c:ptCount val="9"/>
                <c:pt idx="0">
                  <c:v>2.7111765007530233E-3</c:v>
                </c:pt>
                <c:pt idx="1">
                  <c:v>0.14393020417093208</c:v>
                </c:pt>
                <c:pt idx="2">
                  <c:v>0.26836943982901118</c:v>
                </c:pt>
                <c:pt idx="3">
                  <c:v>0.25865989046700494</c:v>
                </c:pt>
                <c:pt idx="4">
                  <c:v>0.2095577016919333</c:v>
                </c:pt>
                <c:pt idx="5">
                  <c:v>0.14893265176672585</c:v>
                </c:pt>
                <c:pt idx="6">
                  <c:v>6.7874341463877386E-2</c:v>
                </c:pt>
                <c:pt idx="7">
                  <c:v>8.7721157163509027E-3</c:v>
                </c:pt>
              </c:numCache>
            </c:numRef>
          </c:val>
          <c:smooth val="0"/>
        </c:ser>
        <c:dLbls>
          <c:showLegendKey val="0"/>
          <c:showVal val="0"/>
          <c:showCatName val="0"/>
          <c:showSerName val="0"/>
          <c:showPercent val="0"/>
          <c:showBubbleSize val="0"/>
        </c:dLbls>
        <c:marker val="1"/>
        <c:smooth val="0"/>
        <c:axId val="140496896"/>
        <c:axId val="140498816"/>
      </c:lineChart>
      <c:catAx>
        <c:axId val="140496896"/>
        <c:scaling>
          <c:orientation val="minMax"/>
        </c:scaling>
        <c:delete val="0"/>
        <c:axPos val="b"/>
        <c:title>
          <c:tx>
            <c:rich>
              <a:bodyPr/>
              <a:lstStyle/>
              <a:p>
                <a:pPr>
                  <a:defRPr/>
                </a:pPr>
                <a:r>
                  <a:rPr lang="en-ZA"/>
                  <a:t>Age group</a:t>
                </a:r>
              </a:p>
            </c:rich>
          </c:tx>
          <c:layout/>
          <c:overlay val="0"/>
        </c:title>
        <c:numFmt formatCode="0.0000" sourceLinked="1"/>
        <c:majorTickMark val="out"/>
        <c:minorTickMark val="none"/>
        <c:tickLblPos val="nextTo"/>
        <c:crossAx val="140498816"/>
        <c:crosses val="autoZero"/>
        <c:auto val="1"/>
        <c:lblAlgn val="ctr"/>
        <c:lblOffset val="100"/>
        <c:noMultiLvlLbl val="0"/>
      </c:catAx>
      <c:valAx>
        <c:axId val="140498816"/>
        <c:scaling>
          <c:orientation val="minMax"/>
        </c:scaling>
        <c:delete val="0"/>
        <c:axPos val="l"/>
        <c:numFmt formatCode="0.00" sourceLinked="0"/>
        <c:majorTickMark val="out"/>
        <c:minorTickMark val="none"/>
        <c:tickLblPos val="nextTo"/>
        <c:crossAx val="140496896"/>
        <c:crosses val="autoZero"/>
        <c:crossBetween val="between"/>
      </c:valAx>
      <c:spPr>
        <a:solidFill>
          <a:schemeClr val="bg1"/>
        </a:solidFill>
      </c:spPr>
    </c:plotArea>
    <c:legend>
      <c:legendPos val="b"/>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Méthode!$A$1</c:f>
          <c:strCache>
            <c:ptCount val="1"/>
            <c:pt idx="0">
              <c:v>Kenya  1989-1999</c:v>
            </c:pt>
          </c:strCache>
        </c:strRef>
      </c:tx>
      <c:overlay val="0"/>
    </c:title>
    <c:autoTitleDeleted val="0"/>
    <c:plotArea>
      <c:layout/>
      <c:scatterChart>
        <c:scatterStyle val="lineMarker"/>
        <c:varyColors val="0"/>
        <c:ser>
          <c:idx val="0"/>
          <c:order val="0"/>
          <c:tx>
            <c:strRef>
              <c:f>Méthode!$F$1:$F$2</c:f>
              <c:strCache>
                <c:ptCount val="1"/>
                <c:pt idx="0">
                  <c:v>Taux de fécondité par âge corrigés (âge réel)</c:v>
                </c:pt>
              </c:strCache>
            </c:strRef>
          </c:tx>
          <c:marker>
            <c:symbol val="none"/>
          </c:marker>
          <c:xVal>
            <c:numRef>
              <c:f>Méthode!$P$17:$P$106</c:f>
              <c:numCache>
                <c:formatCode>General</c:formatCode>
                <c:ptCount val="90"/>
                <c:pt idx="0">
                  <c:v>9</c:v>
                </c:pt>
                <c:pt idx="1">
                  <c:v>9.5</c:v>
                </c:pt>
                <c:pt idx="2">
                  <c:v>10</c:v>
                </c:pt>
                <c:pt idx="3">
                  <c:v>10.5</c:v>
                </c:pt>
                <c:pt idx="4">
                  <c:v>11</c:v>
                </c:pt>
                <c:pt idx="5">
                  <c:v>11.5</c:v>
                </c:pt>
                <c:pt idx="6">
                  <c:v>12</c:v>
                </c:pt>
                <c:pt idx="7">
                  <c:v>12.5</c:v>
                </c:pt>
                <c:pt idx="8">
                  <c:v>13</c:v>
                </c:pt>
                <c:pt idx="9">
                  <c:v>13.5</c:v>
                </c:pt>
                <c:pt idx="10">
                  <c:v>14</c:v>
                </c:pt>
                <c:pt idx="11">
                  <c:v>14.5</c:v>
                </c:pt>
                <c:pt idx="12">
                  <c:v>15</c:v>
                </c:pt>
                <c:pt idx="13">
                  <c:v>15.5</c:v>
                </c:pt>
                <c:pt idx="14">
                  <c:v>16</c:v>
                </c:pt>
                <c:pt idx="15">
                  <c:v>16.5</c:v>
                </c:pt>
                <c:pt idx="16">
                  <c:v>17</c:v>
                </c:pt>
                <c:pt idx="17">
                  <c:v>17.5</c:v>
                </c:pt>
                <c:pt idx="18">
                  <c:v>18</c:v>
                </c:pt>
                <c:pt idx="19">
                  <c:v>18.5</c:v>
                </c:pt>
                <c:pt idx="20">
                  <c:v>19</c:v>
                </c:pt>
                <c:pt idx="21">
                  <c:v>19.5</c:v>
                </c:pt>
                <c:pt idx="22">
                  <c:v>20</c:v>
                </c:pt>
                <c:pt idx="23">
                  <c:v>20.5</c:v>
                </c:pt>
                <c:pt idx="24">
                  <c:v>21</c:v>
                </c:pt>
                <c:pt idx="25">
                  <c:v>21.5</c:v>
                </c:pt>
                <c:pt idx="26">
                  <c:v>22</c:v>
                </c:pt>
                <c:pt idx="27">
                  <c:v>22.5</c:v>
                </c:pt>
                <c:pt idx="28">
                  <c:v>23</c:v>
                </c:pt>
                <c:pt idx="29">
                  <c:v>23.5</c:v>
                </c:pt>
                <c:pt idx="30">
                  <c:v>24</c:v>
                </c:pt>
                <c:pt idx="31">
                  <c:v>24.5</c:v>
                </c:pt>
                <c:pt idx="32">
                  <c:v>25</c:v>
                </c:pt>
                <c:pt idx="33">
                  <c:v>25.5</c:v>
                </c:pt>
                <c:pt idx="34">
                  <c:v>26</c:v>
                </c:pt>
                <c:pt idx="35">
                  <c:v>26.5</c:v>
                </c:pt>
                <c:pt idx="36">
                  <c:v>27</c:v>
                </c:pt>
                <c:pt idx="37">
                  <c:v>27.5</c:v>
                </c:pt>
                <c:pt idx="38">
                  <c:v>28</c:v>
                </c:pt>
                <c:pt idx="39">
                  <c:v>28.5</c:v>
                </c:pt>
                <c:pt idx="40">
                  <c:v>29</c:v>
                </c:pt>
                <c:pt idx="41">
                  <c:v>29.5</c:v>
                </c:pt>
                <c:pt idx="42">
                  <c:v>30</c:v>
                </c:pt>
                <c:pt idx="43">
                  <c:v>30.5</c:v>
                </c:pt>
                <c:pt idx="44">
                  <c:v>31</c:v>
                </c:pt>
                <c:pt idx="45">
                  <c:v>31.5</c:v>
                </c:pt>
                <c:pt idx="46">
                  <c:v>32</c:v>
                </c:pt>
                <c:pt idx="47">
                  <c:v>32.5</c:v>
                </c:pt>
                <c:pt idx="48">
                  <c:v>33</c:v>
                </c:pt>
                <c:pt idx="49">
                  <c:v>33.5</c:v>
                </c:pt>
                <c:pt idx="50">
                  <c:v>34</c:v>
                </c:pt>
                <c:pt idx="51">
                  <c:v>34.5</c:v>
                </c:pt>
                <c:pt idx="52">
                  <c:v>35</c:v>
                </c:pt>
                <c:pt idx="53">
                  <c:v>35.5</c:v>
                </c:pt>
                <c:pt idx="54">
                  <c:v>36</c:v>
                </c:pt>
                <c:pt idx="55">
                  <c:v>36.5</c:v>
                </c:pt>
                <c:pt idx="56">
                  <c:v>37</c:v>
                </c:pt>
                <c:pt idx="57">
                  <c:v>37.5</c:v>
                </c:pt>
                <c:pt idx="58">
                  <c:v>38</c:v>
                </c:pt>
                <c:pt idx="59">
                  <c:v>38.5</c:v>
                </c:pt>
                <c:pt idx="60">
                  <c:v>39</c:v>
                </c:pt>
                <c:pt idx="61">
                  <c:v>39.5</c:v>
                </c:pt>
                <c:pt idx="62">
                  <c:v>40</c:v>
                </c:pt>
                <c:pt idx="63">
                  <c:v>40.5</c:v>
                </c:pt>
                <c:pt idx="64">
                  <c:v>41</c:v>
                </c:pt>
                <c:pt idx="65">
                  <c:v>41.5</c:v>
                </c:pt>
                <c:pt idx="66">
                  <c:v>42</c:v>
                </c:pt>
                <c:pt idx="67">
                  <c:v>42.5</c:v>
                </c:pt>
                <c:pt idx="68">
                  <c:v>43</c:v>
                </c:pt>
                <c:pt idx="69">
                  <c:v>43.5</c:v>
                </c:pt>
                <c:pt idx="70">
                  <c:v>44</c:v>
                </c:pt>
                <c:pt idx="71">
                  <c:v>44.5</c:v>
                </c:pt>
                <c:pt idx="72">
                  <c:v>45</c:v>
                </c:pt>
                <c:pt idx="73">
                  <c:v>45.5</c:v>
                </c:pt>
                <c:pt idx="74">
                  <c:v>46</c:v>
                </c:pt>
                <c:pt idx="75">
                  <c:v>46.5</c:v>
                </c:pt>
                <c:pt idx="76">
                  <c:v>47</c:v>
                </c:pt>
                <c:pt idx="77">
                  <c:v>47.5</c:v>
                </c:pt>
                <c:pt idx="78">
                  <c:v>48</c:v>
                </c:pt>
                <c:pt idx="79">
                  <c:v>48.5</c:v>
                </c:pt>
                <c:pt idx="80">
                  <c:v>49</c:v>
                </c:pt>
                <c:pt idx="81">
                  <c:v>49.5</c:v>
                </c:pt>
                <c:pt idx="82">
                  <c:v>50</c:v>
                </c:pt>
                <c:pt idx="83">
                  <c:v>50.5</c:v>
                </c:pt>
                <c:pt idx="84">
                  <c:v>51</c:v>
                </c:pt>
                <c:pt idx="85">
                  <c:v>51.5</c:v>
                </c:pt>
                <c:pt idx="86">
                  <c:v>52</c:v>
                </c:pt>
                <c:pt idx="87">
                  <c:v>52.5</c:v>
                </c:pt>
                <c:pt idx="88">
                  <c:v>53</c:v>
                </c:pt>
                <c:pt idx="89">
                  <c:v>53.5</c:v>
                </c:pt>
              </c:numCache>
            </c:numRef>
          </c:xVal>
          <c:yVal>
            <c:numRef>
              <c:f>Méthode!$R$17:$R$106</c:f>
              <c:numCache>
                <c:formatCode>0.0000</c:formatCode>
                <c:ptCount val="90"/>
                <c:pt idx="4">
                  <c:v>8.8563683699762985E-9</c:v>
                </c:pt>
                <c:pt idx="5">
                  <c:v>6.3036380488604794E-7</c:v>
                </c:pt>
                <c:pt idx="6">
                  <c:v>6.4259120550653799E-6</c:v>
                </c:pt>
                <c:pt idx="7">
                  <c:v>4.5524948955602832E-5</c:v>
                </c:pt>
                <c:pt idx="8">
                  <c:v>2.0978329469955857E-4</c:v>
                </c:pt>
                <c:pt idx="9">
                  <c:v>7.6936309936552678E-4</c:v>
                </c:pt>
                <c:pt idx="10">
                  <c:v>2.3299147752938484E-3</c:v>
                </c:pt>
                <c:pt idx="11">
                  <c:v>5.9624228018784857E-3</c:v>
                </c:pt>
                <c:pt idx="12">
                  <c:v>1.2408466358937775E-2</c:v>
                </c:pt>
                <c:pt idx="13">
                  <c:v>2.2954244446410171E-2</c:v>
                </c:pt>
                <c:pt idx="14">
                  <c:v>3.509564612208927E-2</c:v>
                </c:pt>
                <c:pt idx="15">
                  <c:v>4.9629673924630573E-2</c:v>
                </c:pt>
                <c:pt idx="16">
                  <c:v>6.2549586185583955E-2</c:v>
                </c:pt>
                <c:pt idx="17">
                  <c:v>7.4988129219428212E-2</c:v>
                </c:pt>
                <c:pt idx="18">
                  <c:v>8.7097672694920011E-2</c:v>
                </c:pt>
                <c:pt idx="19">
                  <c:v>9.8150198542468481E-2</c:v>
                </c:pt>
                <c:pt idx="20">
                  <c:v>0.10695831311242665</c:v>
                </c:pt>
                <c:pt idx="21">
                  <c:v>0.11410326429439277</c:v>
                </c:pt>
                <c:pt idx="22">
                  <c:v>0.12131081827109919</c:v>
                </c:pt>
                <c:pt idx="23">
                  <c:v>0.12711734143136499</c:v>
                </c:pt>
                <c:pt idx="24">
                  <c:v>0.13088579365662523</c:v>
                </c:pt>
                <c:pt idx="25">
                  <c:v>0.13325074945109477</c:v>
                </c:pt>
                <c:pt idx="26">
                  <c:v>0.13536469897494319</c:v>
                </c:pt>
                <c:pt idx="27">
                  <c:v>0.13635433943324204</c:v>
                </c:pt>
                <c:pt idx="28">
                  <c:v>0.13733074539814694</c:v>
                </c:pt>
                <c:pt idx="29">
                  <c:v>0.1374085905280803</c:v>
                </c:pt>
                <c:pt idx="30">
                  <c:v>0.13746468312227644</c:v>
                </c:pt>
                <c:pt idx="31">
                  <c:v>0.13679257872874584</c:v>
                </c:pt>
                <c:pt idx="32">
                  <c:v>0.13665447493152105</c:v>
                </c:pt>
                <c:pt idx="33">
                  <c:v>0.13591388923069547</c:v>
                </c:pt>
                <c:pt idx="34">
                  <c:v>0.13494098245436326</c:v>
                </c:pt>
                <c:pt idx="35">
                  <c:v>0.13346012392435513</c:v>
                </c:pt>
                <c:pt idx="36">
                  <c:v>0.13185532630741426</c:v>
                </c:pt>
                <c:pt idx="37">
                  <c:v>0.1298281928260232</c:v>
                </c:pt>
                <c:pt idx="38">
                  <c:v>0.12807848120356158</c:v>
                </c:pt>
                <c:pt idx="39">
                  <c:v>0.12596244690225178</c:v>
                </c:pt>
                <c:pt idx="40">
                  <c:v>0.12388128491925676</c:v>
                </c:pt>
                <c:pt idx="41">
                  <c:v>0.12148507328418678</c:v>
                </c:pt>
                <c:pt idx="42">
                  <c:v>0.11896615078829909</c:v>
                </c:pt>
                <c:pt idx="43">
                  <c:v>0.1161876784611835</c:v>
                </c:pt>
                <c:pt idx="44">
                  <c:v>0.11343318923402168</c:v>
                </c:pt>
                <c:pt idx="45">
                  <c:v>0.11046057831552503</c:v>
                </c:pt>
                <c:pt idx="46">
                  <c:v>0.1077663432575604</c:v>
                </c:pt>
                <c:pt idx="47">
                  <c:v>0.10486442496189108</c:v>
                </c:pt>
                <c:pt idx="48">
                  <c:v>0.10210429690750833</c:v>
                </c:pt>
                <c:pt idx="49">
                  <c:v>9.9149079091239045E-2</c:v>
                </c:pt>
                <c:pt idx="50">
                  <c:v>9.6282456840949937E-2</c:v>
                </c:pt>
                <c:pt idx="51">
                  <c:v>9.323249339999462E-2</c:v>
                </c:pt>
                <c:pt idx="52">
                  <c:v>9.03509724138849E-2</c:v>
                </c:pt>
                <c:pt idx="53">
                  <c:v>8.7280999788240443E-2</c:v>
                </c:pt>
                <c:pt idx="54">
                  <c:v>8.4239687117253048E-2</c:v>
                </c:pt>
                <c:pt idx="55">
                  <c:v>8.1018341461402521E-2</c:v>
                </c:pt>
                <c:pt idx="56">
                  <c:v>7.7990045174462175E-2</c:v>
                </c:pt>
                <c:pt idx="57">
                  <c:v>7.4756703506611011E-2</c:v>
                </c:pt>
                <c:pt idx="58">
                  <c:v>7.1634535197698135E-2</c:v>
                </c:pt>
                <c:pt idx="59">
                  <c:v>6.8285551025079272E-2</c:v>
                </c:pt>
                <c:pt idx="60">
                  <c:v>6.4728218795004899E-2</c:v>
                </c:pt>
                <c:pt idx="61">
                  <c:v>6.0990033635480945E-2</c:v>
                </c:pt>
                <c:pt idx="62">
                  <c:v>5.6856214569443786E-2</c:v>
                </c:pt>
                <c:pt idx="63">
                  <c:v>5.2657725630700813E-2</c:v>
                </c:pt>
                <c:pt idx="64">
                  <c:v>4.7617872064610545E-2</c:v>
                </c:pt>
                <c:pt idx="65">
                  <c:v>4.2819384638986602E-2</c:v>
                </c:pt>
                <c:pt idx="66">
                  <c:v>3.7981874490318646E-2</c:v>
                </c:pt>
                <c:pt idx="67">
                  <c:v>3.3474105894442108E-2</c:v>
                </c:pt>
                <c:pt idx="68">
                  <c:v>2.8685216330879726E-2</c:v>
                </c:pt>
                <c:pt idx="69">
                  <c:v>2.4435997564065559E-2</c:v>
                </c:pt>
                <c:pt idx="70">
                  <c:v>1.9997930238324191E-2</c:v>
                </c:pt>
                <c:pt idx="71">
                  <c:v>1.6298639931498826E-2</c:v>
                </c:pt>
                <c:pt idx="72">
                  <c:v>1.276048378722594E-2</c:v>
                </c:pt>
                <c:pt idx="73">
                  <c:v>9.9663983422479951E-3</c:v>
                </c:pt>
                <c:pt idx="74">
                  <c:v>7.8511009655866104E-3</c:v>
                </c:pt>
                <c:pt idx="75">
                  <c:v>6.1387736857505537E-3</c:v>
                </c:pt>
                <c:pt idx="76">
                  <c:v>4.7229061579092679E-3</c:v>
                </c:pt>
                <c:pt idx="77">
                  <c:v>3.5684635090600381E-3</c:v>
                </c:pt>
                <c:pt idx="78">
                  <c:v>2.6079732649892939E-3</c:v>
                </c:pt>
                <c:pt idx="79">
                  <c:v>1.7980349613586633E-3</c:v>
                </c:pt>
                <c:pt idx="80">
                  <c:v>1.0019336714406357E-3</c:v>
                </c:pt>
                <c:pt idx="81">
                  <c:v>4.6038460192932007E-4</c:v>
                </c:pt>
                <c:pt idx="82">
                  <c:v>1.8830895186283669E-5</c:v>
                </c:pt>
                <c:pt idx="83">
                  <c:v>7.688881988876517E-7</c:v>
                </c:pt>
                <c:pt idx="84">
                  <c:v>0</c:v>
                </c:pt>
                <c:pt idx="85">
                  <c:v>0</c:v>
                </c:pt>
                <c:pt idx="86">
                  <c:v>0</c:v>
                </c:pt>
                <c:pt idx="87">
                  <c:v>0</c:v>
                </c:pt>
                <c:pt idx="88">
                  <c:v>0</c:v>
                </c:pt>
              </c:numCache>
            </c:numRef>
          </c:yVal>
          <c:smooth val="0"/>
        </c:ser>
        <c:dLbls>
          <c:showLegendKey val="0"/>
          <c:showVal val="0"/>
          <c:showCatName val="0"/>
          <c:showSerName val="0"/>
          <c:showPercent val="0"/>
          <c:showBubbleSize val="0"/>
        </c:dLbls>
        <c:axId val="188381824"/>
        <c:axId val="188384000"/>
      </c:scatterChart>
      <c:valAx>
        <c:axId val="188381824"/>
        <c:scaling>
          <c:orientation val="minMax"/>
          <c:max val="55"/>
          <c:min val="10"/>
        </c:scaling>
        <c:delete val="0"/>
        <c:axPos val="b"/>
        <c:title>
          <c:tx>
            <c:rich>
              <a:bodyPr/>
              <a:lstStyle/>
              <a:p>
                <a:pPr>
                  <a:defRPr/>
                </a:pPr>
                <a:r>
                  <a:rPr lang="en-ZA"/>
                  <a:t>Age group</a:t>
                </a:r>
              </a:p>
            </c:rich>
          </c:tx>
          <c:overlay val="0"/>
        </c:title>
        <c:numFmt formatCode="General" sourceLinked="1"/>
        <c:majorTickMark val="out"/>
        <c:minorTickMark val="in"/>
        <c:tickLblPos val="nextTo"/>
        <c:crossAx val="188384000"/>
        <c:crosses val="autoZero"/>
        <c:crossBetween val="midCat"/>
        <c:majorUnit val="5"/>
        <c:minorUnit val="1"/>
      </c:valAx>
      <c:valAx>
        <c:axId val="188384000"/>
        <c:scaling>
          <c:orientation val="minMax"/>
        </c:scaling>
        <c:delete val="0"/>
        <c:axPos val="l"/>
        <c:numFmt formatCode="0.00" sourceLinked="0"/>
        <c:majorTickMark val="out"/>
        <c:minorTickMark val="none"/>
        <c:tickLblPos val="nextTo"/>
        <c:crossAx val="188381824"/>
        <c:crosses val="autoZero"/>
        <c:crossBetween val="midCat"/>
      </c:valAx>
      <c:spPr>
        <a:solidFill>
          <a:schemeClr val="bg1"/>
        </a:solidFill>
      </c:spPr>
    </c:plotArea>
    <c:legend>
      <c:legendPos val="b"/>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v>P-points</c:v>
          </c:tx>
          <c:spPr>
            <a:ln>
              <a:noFill/>
            </a:ln>
          </c:spPr>
          <c:trendline>
            <c:spPr>
              <a:ln w="28575">
                <a:solidFill>
                  <a:schemeClr val="accent1"/>
                </a:solidFill>
              </a:ln>
            </c:spPr>
            <c:trendlineType val="linear"/>
            <c:dispRSqr val="0"/>
            <c:dispEq val="0"/>
          </c:trendline>
          <c:xVal>
            <c:numRef>
              <c:f>Méthode!$R$3:$R$10</c:f>
              <c:numCache>
                <c:formatCode>0.0000</c:formatCode>
                <c:ptCount val="8"/>
                <c:pt idx="0">
                  <c:v>-2.6737568949099626</c:v>
                </c:pt>
                <c:pt idx="1">
                  <c:v>-1.7468683897346409</c:v>
                </c:pt>
                <c:pt idx="2">
                  <c:v>-1.0158866417223078</c:v>
                </c:pt>
                <c:pt idx="3">
                  <c:v>-0.33492430178104132</c:v>
                </c:pt>
                <c:pt idx="4">
                  <c:v>0.44064864091055989</c:v>
                </c:pt>
                <c:pt idx="5">
                  <c:v>1.5161902940480383</c:v>
                </c:pt>
                <c:pt idx="6">
                  <c:v>3.2238040870214846</c:v>
                </c:pt>
                <c:pt idx="7">
                  <c:v>0</c:v>
                </c:pt>
              </c:numCache>
            </c:numRef>
          </c:xVal>
          <c:yVal>
            <c:numRef>
              <c:f>Méthode!$Q$3:$Q$10</c:f>
              <c:numCache>
                <c:formatCode>0.0000</c:formatCode>
                <c:ptCount val="8"/>
                <c:pt idx="0">
                  <c:v>#N/A</c:v>
                </c:pt>
                <c:pt idx="1">
                  <c:v>-1.7334067268971416</c:v>
                </c:pt>
                <c:pt idx="2">
                  <c:v>-1.0150119767485615</c:v>
                </c:pt>
                <c:pt idx="3">
                  <c:v>-0.4731226205116803</c:v>
                </c:pt>
                <c:pt idx="4">
                  <c:v>0.5121458244318009</c:v>
                </c:pt>
                <c:pt idx="5">
                  <c:v>1.1947840715803979</c:v>
                </c:pt>
                <c:pt idx="6">
                  <c:v>#N/A</c:v>
                </c:pt>
                <c:pt idx="7">
                  <c:v>#N/A</c:v>
                </c:pt>
              </c:numCache>
            </c:numRef>
          </c:yVal>
          <c:smooth val="0"/>
        </c:ser>
        <c:dLbls>
          <c:showLegendKey val="0"/>
          <c:showVal val="0"/>
          <c:showCatName val="0"/>
          <c:showSerName val="0"/>
          <c:showPercent val="0"/>
          <c:showBubbleSize val="0"/>
        </c:dLbls>
        <c:axId val="188749696"/>
        <c:axId val="188764160"/>
      </c:scatterChart>
      <c:valAx>
        <c:axId val="188749696"/>
        <c:scaling>
          <c:orientation val="minMax"/>
        </c:scaling>
        <c:delete val="0"/>
        <c:axPos val="b"/>
        <c:title>
          <c:tx>
            <c:rich>
              <a:bodyPr/>
              <a:lstStyle/>
              <a:p>
                <a:pPr>
                  <a:defRPr/>
                </a:pPr>
                <a:r>
                  <a:rPr lang="en-ZA"/>
                  <a:t>g(i)</a:t>
                </a:r>
              </a:p>
            </c:rich>
          </c:tx>
          <c:layout/>
          <c:overlay val="0"/>
        </c:title>
        <c:numFmt formatCode="0.0" sourceLinked="0"/>
        <c:majorTickMark val="out"/>
        <c:minorTickMark val="none"/>
        <c:tickLblPos val="nextTo"/>
        <c:crossAx val="188764160"/>
        <c:crosses val="autoZero"/>
        <c:crossBetween val="midCat"/>
      </c:valAx>
      <c:valAx>
        <c:axId val="188764160"/>
        <c:scaling>
          <c:orientation val="minMax"/>
        </c:scaling>
        <c:delete val="0"/>
        <c:axPos val="l"/>
        <c:title>
          <c:tx>
            <c:rich>
              <a:bodyPr rot="-5400000" vert="horz"/>
              <a:lstStyle/>
              <a:p>
                <a:pPr>
                  <a:defRPr/>
                </a:pPr>
                <a:r>
                  <a:rPr lang="en-US"/>
                  <a:t>z(i)-e(i)</a:t>
                </a:r>
              </a:p>
            </c:rich>
          </c:tx>
          <c:layout/>
          <c:overlay val="0"/>
        </c:title>
        <c:numFmt formatCode="0.0" sourceLinked="0"/>
        <c:majorTickMark val="out"/>
        <c:minorTickMark val="none"/>
        <c:tickLblPos val="nextTo"/>
        <c:crossAx val="188749696"/>
        <c:crosses val="autoZero"/>
        <c:crossBetween val="midCat"/>
      </c:valAx>
      <c:spPr>
        <a:solidFill>
          <a:schemeClr val="bg1"/>
        </a:solidFill>
      </c:spPr>
    </c:plotArea>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P-points</c:v>
          </c:tx>
          <c:spPr>
            <a:ln>
              <a:noFill/>
            </a:ln>
          </c:spPr>
          <c:trendline>
            <c:spPr>
              <a:ln w="28575">
                <a:solidFill>
                  <a:schemeClr val="accent1"/>
                </a:solidFill>
              </a:ln>
            </c:spPr>
            <c:trendlineType val="linear"/>
            <c:dispRSqr val="0"/>
            <c:dispEq val="1"/>
            <c:trendlineLbl>
              <c:layout>
                <c:manualLayout>
                  <c:x val="-6.4960625076904172E-2"/>
                  <c:y val="1.6972437408146621E-2"/>
                </c:manualLayout>
              </c:layout>
              <c:numFmt formatCode="General" sourceLinked="0"/>
              <c:txPr>
                <a:bodyPr/>
                <a:lstStyle/>
                <a:p>
                  <a:pPr>
                    <a:defRPr>
                      <a:solidFill>
                        <a:schemeClr val="accent1"/>
                      </a:solidFill>
                    </a:defRPr>
                  </a:pPr>
                  <a:endParaRPr lang="en-US"/>
                </a:p>
              </c:txPr>
            </c:trendlineLbl>
          </c:trendline>
          <c:xVal>
            <c:numRef>
              <c:f>Méthode!$U$3:$U$10</c:f>
              <c:numCache>
                <c:formatCode>0.0000</c:formatCode>
                <c:ptCount val="8"/>
                <c:pt idx="0">
                  <c:v>#N/A</c:v>
                </c:pt>
                <c:pt idx="1">
                  <c:v>-1.7468683897346409</c:v>
                </c:pt>
                <c:pt idx="2">
                  <c:v>-1.0158866417223078</c:v>
                </c:pt>
                <c:pt idx="3">
                  <c:v>-0.33492430178104132</c:v>
                </c:pt>
                <c:pt idx="4">
                  <c:v>0.44064864091055989</c:v>
                </c:pt>
                <c:pt idx="5">
                  <c:v>#N/A</c:v>
                </c:pt>
                <c:pt idx="6">
                  <c:v>#N/A</c:v>
                </c:pt>
                <c:pt idx="7">
                  <c:v>#N/A</c:v>
                </c:pt>
              </c:numCache>
            </c:numRef>
          </c:xVal>
          <c:yVal>
            <c:numRef>
              <c:f>Méthode!$T$3:$T$10</c:f>
              <c:numCache>
                <c:formatCode>0.0000</c:formatCode>
                <c:ptCount val="8"/>
                <c:pt idx="0">
                  <c:v>#N/A</c:v>
                </c:pt>
                <c:pt idx="1">
                  <c:v>-1.7334067268971416</c:v>
                </c:pt>
                <c:pt idx="2">
                  <c:v>-1.0150119767485615</c:v>
                </c:pt>
                <c:pt idx="3">
                  <c:v>-0.4731226205116803</c:v>
                </c:pt>
                <c:pt idx="4">
                  <c:v>0.5121458244318009</c:v>
                </c:pt>
                <c:pt idx="5">
                  <c:v>#N/A</c:v>
                </c:pt>
                <c:pt idx="6">
                  <c:v>#N/A</c:v>
                </c:pt>
                <c:pt idx="7">
                  <c:v>#N/A</c:v>
                </c:pt>
              </c:numCache>
            </c:numRef>
          </c:yVal>
          <c:smooth val="0"/>
        </c:ser>
        <c:dLbls>
          <c:showLegendKey val="0"/>
          <c:showVal val="0"/>
          <c:showCatName val="0"/>
          <c:showSerName val="0"/>
          <c:showPercent val="0"/>
          <c:showBubbleSize val="0"/>
        </c:dLbls>
        <c:axId val="188797696"/>
        <c:axId val="188799616"/>
      </c:scatterChart>
      <c:valAx>
        <c:axId val="188797696"/>
        <c:scaling>
          <c:orientation val="minMax"/>
        </c:scaling>
        <c:delete val="0"/>
        <c:axPos val="b"/>
        <c:title>
          <c:tx>
            <c:rich>
              <a:bodyPr/>
              <a:lstStyle/>
              <a:p>
                <a:pPr>
                  <a:defRPr/>
                </a:pPr>
                <a:r>
                  <a:rPr lang="en-ZA"/>
                  <a:t>g(i)</a:t>
                </a:r>
              </a:p>
            </c:rich>
          </c:tx>
          <c:overlay val="0"/>
        </c:title>
        <c:numFmt formatCode="0.0" sourceLinked="0"/>
        <c:majorTickMark val="out"/>
        <c:minorTickMark val="none"/>
        <c:tickLblPos val="nextTo"/>
        <c:crossAx val="188799616"/>
        <c:crosses val="autoZero"/>
        <c:crossBetween val="midCat"/>
        <c:majorUnit val="1"/>
      </c:valAx>
      <c:valAx>
        <c:axId val="188799616"/>
        <c:scaling>
          <c:orientation val="minMax"/>
        </c:scaling>
        <c:delete val="0"/>
        <c:axPos val="l"/>
        <c:title>
          <c:tx>
            <c:rich>
              <a:bodyPr rot="-5400000" vert="horz"/>
              <a:lstStyle/>
              <a:p>
                <a:pPr>
                  <a:defRPr/>
                </a:pPr>
                <a:r>
                  <a:rPr lang="en-US"/>
                  <a:t>z(i)-e(i)</a:t>
                </a:r>
              </a:p>
            </c:rich>
          </c:tx>
          <c:layout>
            <c:manualLayout>
              <c:xMode val="edge"/>
              <c:yMode val="edge"/>
              <c:x val="6.5112177515278405E-3"/>
              <c:y val="0.41455060055581044"/>
            </c:manualLayout>
          </c:layout>
          <c:overlay val="0"/>
        </c:title>
        <c:numFmt formatCode="0.0" sourceLinked="0"/>
        <c:majorTickMark val="out"/>
        <c:minorTickMark val="none"/>
        <c:tickLblPos val="nextTo"/>
        <c:crossAx val="188797696"/>
        <c:crosses val="autoZero"/>
        <c:crossBetween val="midCat"/>
      </c:valAx>
      <c:spPr>
        <a:solidFill>
          <a:schemeClr val="bg1"/>
        </a:solidFill>
      </c:spPr>
    </c:plotArea>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13</xdr:col>
      <xdr:colOff>561975</xdr:colOff>
      <xdr:row>43</xdr:row>
      <xdr:rowOff>99978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13</xdr:col>
      <xdr:colOff>561975</xdr:colOff>
      <xdr:row>74</xdr:row>
      <xdr:rowOff>99978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608400</xdr:colOff>
      <xdr:row>37</xdr:row>
      <xdr:rowOff>23778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40</xdr:row>
      <xdr:rowOff>0</xdr:rowOff>
    </xdr:from>
    <xdr:to>
      <xdr:col>16</xdr:col>
      <xdr:colOff>608400</xdr:colOff>
      <xdr:row>76</xdr:row>
      <xdr:rowOff>23778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fr/content/estimation-de-la-f&#233;condit&#233;-&#224;-partir-des-accroissements-de-parit&#233;-des-cohort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D1" sqref="D1"/>
    </sheetView>
  </sheetViews>
  <sheetFormatPr defaultColWidth="9.140625" defaultRowHeight="15" x14ac:dyDescent="0.2"/>
  <cols>
    <col min="1" max="1" width="6.7109375" style="1" customWidth="1"/>
    <col min="2" max="2" width="98" style="4" customWidth="1"/>
    <col min="3" max="3" width="15.85546875" style="1" customWidth="1"/>
    <col min="4" max="4" width="28.28515625" style="2" customWidth="1"/>
    <col min="5" max="5" width="27.42578125" style="3" customWidth="1"/>
    <col min="6" max="6" width="9.140625" style="1" customWidth="1"/>
    <col min="7" max="16384" width="9.140625" style="1"/>
  </cols>
  <sheetData>
    <row r="1" spans="1:6" ht="33" customHeight="1" x14ac:dyDescent="0.25">
      <c r="A1" s="102" t="s">
        <v>51</v>
      </c>
      <c r="B1" s="103"/>
      <c r="D1" s="101"/>
    </row>
    <row r="3" spans="1:6" x14ac:dyDescent="0.2">
      <c r="A3" s="104" t="s">
        <v>52</v>
      </c>
      <c r="B3" s="104"/>
    </row>
    <row r="4" spans="1:6" x14ac:dyDescent="0.2">
      <c r="A4" s="108" t="s">
        <v>97</v>
      </c>
      <c r="B4" s="108"/>
      <c r="C4" s="108"/>
    </row>
    <row r="6" spans="1:6" ht="32.25" customHeight="1" x14ac:dyDescent="0.2">
      <c r="A6" s="105" t="s">
        <v>53</v>
      </c>
      <c r="B6" s="105"/>
    </row>
    <row r="7" spans="1:6" x14ac:dyDescent="0.2">
      <c r="A7" s="2"/>
    </row>
    <row r="8" spans="1:6" ht="15" customHeight="1" thickBot="1" x14ac:dyDescent="0.3">
      <c r="A8" s="5" t="s">
        <v>54</v>
      </c>
    </row>
    <row r="9" spans="1:6" ht="15.75" customHeight="1" x14ac:dyDescent="0.25">
      <c r="A9" s="6">
        <v>1</v>
      </c>
      <c r="B9" s="7" t="s">
        <v>55</v>
      </c>
      <c r="C9" s="2"/>
      <c r="D9" s="8" t="s">
        <v>59</v>
      </c>
      <c r="E9" s="46" t="s">
        <v>42</v>
      </c>
    </row>
    <row r="10" spans="1:6" ht="15.75" customHeight="1" x14ac:dyDescent="0.25">
      <c r="A10" s="6"/>
      <c r="B10" s="7"/>
      <c r="C10" s="2"/>
      <c r="D10" s="9"/>
      <c r="E10" s="86"/>
    </row>
    <row r="11" spans="1:6" ht="31.9" customHeight="1" x14ac:dyDescent="0.2">
      <c r="A11" s="6"/>
      <c r="B11" s="7" t="s">
        <v>92</v>
      </c>
      <c r="C11" s="2"/>
      <c r="D11" s="9" t="s">
        <v>60</v>
      </c>
      <c r="E11" s="47">
        <v>1989</v>
      </c>
    </row>
    <row r="12" spans="1:6" x14ac:dyDescent="0.2">
      <c r="A12" s="6"/>
      <c r="B12" s="7"/>
      <c r="C12" s="2"/>
      <c r="D12" s="9"/>
      <c r="E12" s="85"/>
    </row>
    <row r="13" spans="1:6" ht="76.150000000000006" customHeight="1" thickBot="1" x14ac:dyDescent="0.3">
      <c r="A13" s="6">
        <v>2</v>
      </c>
      <c r="B13" s="7" t="s">
        <v>93</v>
      </c>
      <c r="C13" s="2"/>
      <c r="D13" s="87" t="s">
        <v>61</v>
      </c>
      <c r="E13" s="48">
        <v>10</v>
      </c>
    </row>
    <row r="14" spans="1:6" x14ac:dyDescent="0.2">
      <c r="A14" s="6"/>
      <c r="B14" s="7"/>
      <c r="C14" s="2"/>
      <c r="D14" s="11"/>
      <c r="E14" s="12"/>
    </row>
    <row r="15" spans="1:6" ht="45.75" x14ac:dyDescent="0.25">
      <c r="A15" s="6">
        <v>3</v>
      </c>
      <c r="B15" s="7" t="s">
        <v>94</v>
      </c>
      <c r="C15" s="2"/>
      <c r="D15" s="49"/>
      <c r="E15" s="50"/>
      <c r="F15" s="51"/>
    </row>
    <row r="16" spans="1:6" ht="30" x14ac:dyDescent="0.2">
      <c r="A16" s="6"/>
      <c r="B16" s="7" t="s">
        <v>56</v>
      </c>
      <c r="C16" s="2"/>
      <c r="D16" s="52"/>
      <c r="E16" s="53"/>
      <c r="F16" s="51"/>
    </row>
    <row r="17" spans="1:6" x14ac:dyDescent="0.2">
      <c r="A17" s="10"/>
      <c r="C17" s="2"/>
      <c r="D17" s="52"/>
      <c r="E17" s="53"/>
      <c r="F17" s="51"/>
    </row>
    <row r="18" spans="1:6" ht="45.75" x14ac:dyDescent="0.25">
      <c r="A18" s="6"/>
      <c r="B18" s="7" t="s">
        <v>95</v>
      </c>
      <c r="C18" s="2"/>
      <c r="D18" s="54"/>
      <c r="E18" s="53"/>
      <c r="F18" s="51"/>
    </row>
    <row r="19" spans="1:6" s="2" customFormat="1" ht="30" x14ac:dyDescent="0.2">
      <c r="A19" s="6"/>
      <c r="B19" s="7" t="s">
        <v>56</v>
      </c>
      <c r="D19" s="52"/>
      <c r="E19" s="53"/>
      <c r="F19" s="51"/>
    </row>
    <row r="20" spans="1:6" s="2" customFormat="1" x14ac:dyDescent="0.2">
      <c r="A20" s="6"/>
      <c r="B20" s="7"/>
      <c r="D20" s="52"/>
      <c r="E20" s="53"/>
      <c r="F20" s="51"/>
    </row>
    <row r="21" spans="1:6" s="2" customFormat="1" ht="45.75" x14ac:dyDescent="0.2">
      <c r="A21" s="6">
        <v>4</v>
      </c>
      <c r="B21" s="7" t="s">
        <v>57</v>
      </c>
      <c r="D21" s="52"/>
      <c r="E21" s="53"/>
      <c r="F21" s="51"/>
    </row>
    <row r="22" spans="1:6" s="2" customFormat="1" x14ac:dyDescent="0.2">
      <c r="A22" s="6"/>
      <c r="B22" s="7"/>
      <c r="E22" s="3"/>
      <c r="F22" s="1"/>
    </row>
    <row r="23" spans="1:6" s="2" customFormat="1" ht="61.5" x14ac:dyDescent="0.25">
      <c r="A23" s="6">
        <v>5</v>
      </c>
      <c r="B23" s="7" t="s">
        <v>58</v>
      </c>
      <c r="E23" s="3"/>
      <c r="F23" s="1"/>
    </row>
    <row r="24" spans="1:6" s="2" customFormat="1" x14ac:dyDescent="0.2">
      <c r="A24" s="6"/>
      <c r="B24" s="7"/>
      <c r="E24" s="3"/>
      <c r="F24" s="1"/>
    </row>
    <row r="25" spans="1:6" s="2" customFormat="1" ht="46.5" x14ac:dyDescent="0.25">
      <c r="A25" s="6">
        <v>8</v>
      </c>
      <c r="B25" s="7" t="s">
        <v>98</v>
      </c>
      <c r="E25" s="3"/>
      <c r="F25" s="1"/>
    </row>
    <row r="26" spans="1:6" s="2" customFormat="1" x14ac:dyDescent="0.2">
      <c r="A26" s="10"/>
      <c r="B26" s="4"/>
      <c r="E26" s="3"/>
      <c r="F26" s="1"/>
    </row>
    <row r="27" spans="1:6" s="2" customFormat="1" ht="46.5" x14ac:dyDescent="0.25">
      <c r="A27" s="6">
        <v>9</v>
      </c>
      <c r="B27" s="7" t="s">
        <v>96</v>
      </c>
      <c r="C27" s="1"/>
      <c r="E27" s="3"/>
      <c r="F27" s="1"/>
    </row>
    <row r="28" spans="1:6" s="2" customFormat="1" x14ac:dyDescent="0.2">
      <c r="A28" s="1"/>
      <c r="B28" s="4"/>
      <c r="C28" s="1"/>
      <c r="E28" s="3"/>
      <c r="F28" s="1"/>
    </row>
    <row r="29" spans="1:6" s="2" customFormat="1" x14ac:dyDescent="0.2">
      <c r="A29" s="1"/>
      <c r="B29" s="4"/>
      <c r="C29" s="1"/>
      <c r="E29" s="3"/>
      <c r="F29" s="1"/>
    </row>
  </sheetData>
  <sheetProtection sheet="1" objects="1" scenarios="1" selectLockedCells="1"/>
  <mergeCells count="4">
    <mergeCell ref="A1:B1"/>
    <mergeCell ref="A3:B3"/>
    <mergeCell ref="A6:B6"/>
    <mergeCell ref="A4:C4"/>
  </mergeCells>
  <dataValidations count="1">
    <dataValidation type="list" showInputMessage="1" showErrorMessage="1" error="Select value from the dropdown list" sqref="E13">
      <formula1>Intersurvey_period</formula1>
    </dataValidation>
  </dataValidations>
  <hyperlinks>
    <hyperlink ref="A4"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Choose the intersurvey duration">
          <x14:formula1>
            <xm:f>Méthode!$AU$30:$AU$32</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106"/>
  <sheetViews>
    <sheetView zoomScaleNormal="100" workbookViewId="0">
      <selection activeCell="O34" sqref="O34"/>
    </sheetView>
  </sheetViews>
  <sheetFormatPr defaultColWidth="9.140625" defaultRowHeight="15" customHeight="1" x14ac:dyDescent="0.2"/>
  <cols>
    <col min="1" max="1" width="16" style="14" bestFit="1" customWidth="1"/>
    <col min="2" max="2" width="11.85546875" style="14" customWidth="1"/>
    <col min="3" max="3" width="11.85546875" style="14" bestFit="1" customWidth="1"/>
    <col min="4" max="4" width="7.7109375" style="14" bestFit="1" customWidth="1"/>
    <col min="5" max="5" width="8.42578125" style="14" bestFit="1" customWidth="1"/>
    <col min="6" max="6" width="16" style="14" bestFit="1" customWidth="1"/>
    <col min="7" max="7" width="7.28515625" style="14" bestFit="1" customWidth="1"/>
    <col min="8" max="8" width="9.42578125" style="14" bestFit="1" customWidth="1"/>
    <col min="9" max="9" width="12.28515625" style="14" bestFit="1" customWidth="1"/>
    <col min="10" max="10" width="1.7109375" style="14" customWidth="1"/>
    <col min="11" max="11" width="15.28515625" style="14" bestFit="1" customWidth="1"/>
    <col min="12" max="12" width="8.140625" style="14" customWidth="1"/>
    <col min="13" max="13" width="8.42578125" style="14" customWidth="1"/>
    <col min="14" max="14" width="10.28515625" style="14" customWidth="1"/>
    <col min="15" max="15" width="7.140625" style="14" customWidth="1"/>
    <col min="16" max="16" width="6.5703125" style="14" customWidth="1"/>
    <col min="17" max="17" width="8" style="14" customWidth="1"/>
    <col min="18" max="18" width="7.140625" style="14" customWidth="1"/>
    <col min="19" max="19" width="1.7109375" style="14" customWidth="1"/>
    <col min="20" max="21" width="9.140625" style="14" customWidth="1"/>
    <col min="22" max="22" width="1.7109375" style="14" customWidth="1"/>
    <col min="23" max="26" width="9.140625" style="14" customWidth="1"/>
    <col min="27" max="27" width="5.28515625" style="14" customWidth="1"/>
    <col min="28" max="28" width="11.85546875" style="14" customWidth="1"/>
    <col min="29" max="29" width="10.140625" style="14" customWidth="1"/>
    <col min="30" max="30" width="9.7109375" style="14" customWidth="1"/>
    <col min="31" max="31" width="12.7109375" style="14" customWidth="1"/>
    <col min="32" max="32" width="8.7109375" style="14" customWidth="1"/>
    <col min="33" max="33" width="8.5703125" style="14" customWidth="1"/>
    <col min="34" max="36" width="9.140625" style="14" customWidth="1"/>
    <col min="37" max="37" width="6.85546875" style="14" customWidth="1"/>
    <col min="38" max="38" width="7.5703125" style="14" customWidth="1"/>
    <col min="39" max="39" width="10" style="14" customWidth="1"/>
    <col min="40" max="41" width="7.140625" style="14" customWidth="1"/>
    <col min="42" max="43" width="7.5703125" style="14" customWidth="1"/>
    <col min="44" max="45" width="7.140625" style="14" customWidth="1"/>
    <col min="46" max="46" width="3.7109375" style="14" customWidth="1"/>
    <col min="47" max="47" width="17.7109375" style="14" bestFit="1" customWidth="1"/>
    <col min="48" max="49" width="9.140625" style="14"/>
    <col min="50" max="50" width="5" style="14" bestFit="1" customWidth="1"/>
    <col min="51" max="52" width="12.5703125" style="14" bestFit="1" customWidth="1"/>
    <col min="53" max="53" width="9.28515625" style="60" bestFit="1" customWidth="1"/>
    <col min="54" max="55" width="9.140625" style="14"/>
    <col min="56" max="56" width="12.42578125" style="14" bestFit="1" customWidth="1"/>
    <col min="57" max="16384" width="9.140625" style="14"/>
  </cols>
  <sheetData>
    <row r="1" spans="1:62" ht="15" customHeight="1" thickBot="1" x14ac:dyDescent="0.35">
      <c r="A1" s="55" t="str">
        <f>Introduction!E9&amp;"  "&amp;Introduction!E11&amp;IF(Introduction!E13&lt;&gt;0,"-"&amp;Introduction!E11+Introduction!E13,"")</f>
        <v>Kenya  1989-1999</v>
      </c>
      <c r="C1" s="56"/>
      <c r="D1" s="57"/>
      <c r="E1" s="38"/>
      <c r="F1" s="57" t="s">
        <v>63</v>
      </c>
      <c r="M1" s="58" t="s">
        <v>67</v>
      </c>
      <c r="N1" s="38"/>
      <c r="O1" s="38"/>
      <c r="P1" s="38"/>
      <c r="Q1" s="38"/>
      <c r="R1" s="38"/>
      <c r="S1" s="38"/>
      <c r="T1" s="40"/>
      <c r="U1" s="40"/>
      <c r="V1" s="38"/>
      <c r="W1" s="40"/>
      <c r="X1" s="40"/>
      <c r="Y1" s="40"/>
      <c r="Z1" s="40"/>
      <c r="AB1" s="58" t="s">
        <v>70</v>
      </c>
      <c r="AJ1" s="16" t="s">
        <v>84</v>
      </c>
      <c r="AY1" s="59"/>
      <c r="AZ1" s="59"/>
      <c r="BB1" s="59"/>
      <c r="BC1" s="59"/>
      <c r="BD1" s="59"/>
      <c r="BE1" s="59"/>
    </row>
    <row r="2" spans="1:62" ht="15" customHeight="1" thickBot="1" x14ac:dyDescent="0.35">
      <c r="A2" s="61" t="s">
        <v>38</v>
      </c>
      <c r="B2" s="62">
        <f>Introduction!E11</f>
        <v>1989</v>
      </c>
      <c r="C2" s="62">
        <f>IF(Introduction!E13=0,"Not required",B2+Introduction!E13)</f>
        <v>1999</v>
      </c>
      <c r="D2" s="63" t="s">
        <v>43</v>
      </c>
      <c r="E2" s="63" t="s">
        <v>62</v>
      </c>
      <c r="F2" s="63" t="s">
        <v>64</v>
      </c>
      <c r="K2" s="38"/>
      <c r="L2" s="39"/>
      <c r="M2" s="41" t="s">
        <v>68</v>
      </c>
      <c r="N2" s="41" t="s">
        <v>20</v>
      </c>
      <c r="O2" s="41" t="s">
        <v>22</v>
      </c>
      <c r="P2" s="41" t="s">
        <v>18</v>
      </c>
      <c r="Q2" s="41" t="s">
        <v>23</v>
      </c>
      <c r="R2" s="41" t="s">
        <v>19</v>
      </c>
      <c r="S2" s="41"/>
      <c r="T2" s="41" t="s">
        <v>23</v>
      </c>
      <c r="U2" s="41" t="s">
        <v>19</v>
      </c>
      <c r="V2" s="41"/>
      <c r="W2" s="41" t="s">
        <v>23</v>
      </c>
      <c r="X2" s="41" t="s">
        <v>19</v>
      </c>
      <c r="Y2" s="41" t="s">
        <v>66</v>
      </c>
      <c r="Z2" s="88"/>
      <c r="AA2" s="38"/>
      <c r="AB2" s="39"/>
      <c r="AY2" s="59"/>
      <c r="AZ2" s="59"/>
      <c r="BA2" s="14"/>
    </row>
    <row r="3" spans="1:62" ht="15" customHeight="1" thickTop="1" thickBot="1" x14ac:dyDescent="0.35">
      <c r="A3" s="64" t="s">
        <v>12</v>
      </c>
      <c r="B3" s="84"/>
      <c r="C3" s="84"/>
      <c r="D3" s="65"/>
      <c r="E3" s="83"/>
      <c r="F3" s="66">
        <f t="shared" ref="F3:F10" si="0">AG22</f>
        <v>2.7111765007530233E-3</v>
      </c>
      <c r="L3" s="13"/>
      <c r="M3" s="14">
        <v>0</v>
      </c>
      <c r="N3" s="15">
        <f t="shared" ref="N3:N9" si="1">D3/D4</f>
        <v>0</v>
      </c>
      <c r="O3" s="15" t="e">
        <f t="shared" ref="O3:O10" si="2">IF(AND(N3&lt;&gt;0,N3&lt;1),-LN(-LN(N3)),NA())</f>
        <v>#N/A</v>
      </c>
      <c r="P3" s="15">
        <f t="shared" ref="P3:P10" si="3">AR16</f>
        <v>1.0289048394419933</v>
      </c>
      <c r="Q3" s="15" t="e">
        <f>O3-P3</f>
        <v>#N/A</v>
      </c>
      <c r="R3" s="15">
        <f t="shared" ref="R3:R10" si="4">AS16</f>
        <v>-2.6737568949099626</v>
      </c>
      <c r="T3" s="15" t="e">
        <f t="shared" ref="T3:T10" si="5">IF(AND($E4=1,$E3=1),Q3,NA())</f>
        <v>#N/A</v>
      </c>
      <c r="U3" s="15" t="e">
        <f t="shared" ref="U3:U10" si="6">IF(ISNA(T3),NA(),R3)</f>
        <v>#N/A</v>
      </c>
      <c r="W3" s="15">
        <f t="shared" ref="W3:W10" si="7">IF(ISNA(T3),0,T3)</f>
        <v>0</v>
      </c>
      <c r="X3" s="15">
        <f>IF(ISNA(T3),0,U3)</f>
        <v>0</v>
      </c>
      <c r="Y3" s="15">
        <f>IF(ISNA(T3),0,(($AC$17+$AC$16*U3)-T3)^2)</f>
        <v>0</v>
      </c>
      <c r="Z3" s="15"/>
      <c r="AA3" s="38"/>
      <c r="AB3" s="39" t="s">
        <v>71</v>
      </c>
      <c r="AC3" s="15">
        <f>AQ$25</f>
        <v>0.95847700933454127</v>
      </c>
      <c r="AD3" s="17"/>
      <c r="AF3" s="16"/>
      <c r="AG3" s="16"/>
      <c r="AJ3" s="38"/>
      <c r="AK3" s="107" t="s">
        <v>85</v>
      </c>
      <c r="AL3" s="107"/>
      <c r="AM3" s="107"/>
      <c r="AN3" s="107"/>
      <c r="AO3" s="107"/>
      <c r="AP3" s="107"/>
      <c r="AQ3" s="107"/>
      <c r="AR3" s="107"/>
      <c r="AX3" s="43"/>
      <c r="AY3" s="43" t="s">
        <v>9</v>
      </c>
      <c r="AZ3" s="43" t="s">
        <v>40</v>
      </c>
      <c r="BA3" s="43" t="s">
        <v>90</v>
      </c>
    </row>
    <row r="4" spans="1:62" ht="15" customHeight="1" thickBot="1" x14ac:dyDescent="0.35">
      <c r="A4" s="64" t="s">
        <v>0</v>
      </c>
      <c r="B4" s="84">
        <v>0.24160000000000001</v>
      </c>
      <c r="C4" s="84">
        <v>0.2848</v>
      </c>
      <c r="D4" s="67">
        <f>C4</f>
        <v>0.2848</v>
      </c>
      <c r="E4" s="83">
        <v>1</v>
      </c>
      <c r="F4" s="66">
        <f t="shared" si="0"/>
        <v>0.14393020417093208</v>
      </c>
      <c r="G4" s="13"/>
      <c r="H4" s="13"/>
      <c r="I4" s="13"/>
      <c r="J4" s="13"/>
      <c r="L4" s="13"/>
      <c r="M4" s="14">
        <v>1</v>
      </c>
      <c r="N4" s="15">
        <f t="shared" si="1"/>
        <v>0.20879765395894426</v>
      </c>
      <c r="O4" s="15">
        <f t="shared" si="2"/>
        <v>-0.4487733909245043</v>
      </c>
      <c r="P4" s="15">
        <f t="shared" si="3"/>
        <v>1.2846333359726372</v>
      </c>
      <c r="Q4" s="15">
        <f t="shared" ref="Q4:Q10" si="8">O4-P4</f>
        <v>-1.7334067268971416</v>
      </c>
      <c r="R4" s="15">
        <f t="shared" si="4"/>
        <v>-1.7468683897346409</v>
      </c>
      <c r="T4" s="15">
        <f t="shared" si="5"/>
        <v>-1.7334067268971416</v>
      </c>
      <c r="U4" s="15">
        <f t="shared" si="6"/>
        <v>-1.7468683897346409</v>
      </c>
      <c r="W4" s="15">
        <f t="shared" si="7"/>
        <v>-1.7334067268971416</v>
      </c>
      <c r="X4" s="15">
        <f t="shared" ref="X4:X10" si="9">IF(ISNA(T4),0,U4)</f>
        <v>-1.7468683897346409</v>
      </c>
      <c r="Y4" s="15">
        <f t="shared" ref="Y4:Y10" si="10">IF(ISNA(T4),0,(($AC$17+$AC$16*U4)-T4)^2)</f>
        <v>1.1713710164786178E-3</v>
      </c>
      <c r="Z4" s="15"/>
      <c r="AA4" s="38"/>
      <c r="AB4" s="39"/>
      <c r="AD4" s="15"/>
      <c r="AF4" s="15"/>
      <c r="AG4" s="15"/>
      <c r="AJ4" s="41" t="s">
        <v>13</v>
      </c>
      <c r="AK4" s="41" t="s">
        <v>14</v>
      </c>
      <c r="AL4" s="41" t="s">
        <v>9</v>
      </c>
      <c r="AM4" s="41" t="s">
        <v>30</v>
      </c>
      <c r="AN4" s="41" t="s">
        <v>31</v>
      </c>
      <c r="AO4" s="41" t="s">
        <v>32</v>
      </c>
      <c r="AP4" s="41" t="s">
        <v>33</v>
      </c>
      <c r="AQ4" s="41" t="s">
        <v>7</v>
      </c>
      <c r="AR4" s="41" t="s">
        <v>8</v>
      </c>
      <c r="AX4" s="42" t="s">
        <v>41</v>
      </c>
      <c r="AY4" s="42" t="s">
        <v>39</v>
      </c>
      <c r="AZ4" s="42" t="s">
        <v>39</v>
      </c>
      <c r="BA4" s="42" t="s">
        <v>39</v>
      </c>
    </row>
    <row r="5" spans="1:62" ht="15" customHeight="1" x14ac:dyDescent="0.3">
      <c r="A5" s="64" t="s">
        <v>1</v>
      </c>
      <c r="B5" s="84">
        <v>1.5246999999999999</v>
      </c>
      <c r="C5" s="84">
        <v>1.3640000000000001</v>
      </c>
      <c r="D5" s="67">
        <f>IF($AV$29=1,B5,IF($AV$29=2,D4+C5-B4,C5))</f>
        <v>1.3640000000000001</v>
      </c>
      <c r="E5" s="83">
        <v>1</v>
      </c>
      <c r="F5" s="66">
        <f t="shared" si="0"/>
        <v>0.26836943982901118</v>
      </c>
      <c r="G5" s="13"/>
      <c r="H5" s="68" t="s">
        <v>24</v>
      </c>
      <c r="I5" s="69">
        <f>AC18</f>
        <v>-8.4076953184789149E-3</v>
      </c>
      <c r="J5" s="13"/>
      <c r="K5" s="14" t="str">
        <f>IF(ABS(I5)&gt;0.3,"caution!","ok")</f>
        <v>ok</v>
      </c>
      <c r="L5" s="13"/>
      <c r="M5" s="14">
        <v>2</v>
      </c>
      <c r="N5" s="15">
        <f t="shared" si="1"/>
        <v>0.51461988304093564</v>
      </c>
      <c r="O5" s="15">
        <f t="shared" si="2"/>
        <v>0.40898116917590449</v>
      </c>
      <c r="P5" s="15">
        <f t="shared" si="3"/>
        <v>1.4239931459244659</v>
      </c>
      <c r="Q5" s="15">
        <f t="shared" si="8"/>
        <v>-1.0150119767485615</v>
      </c>
      <c r="R5" s="15">
        <f t="shared" si="4"/>
        <v>-1.0158866417223078</v>
      </c>
      <c r="T5" s="15">
        <f t="shared" si="5"/>
        <v>-1.0150119767485615</v>
      </c>
      <c r="U5" s="15">
        <f t="shared" si="6"/>
        <v>-1.0158866417223078</v>
      </c>
      <c r="W5" s="15">
        <f t="shared" si="7"/>
        <v>-1.0150119767485615</v>
      </c>
      <c r="X5" s="15">
        <f t="shared" si="9"/>
        <v>-1.0158866417223078</v>
      </c>
      <c r="Y5" s="15">
        <f t="shared" si="10"/>
        <v>2.7086089003002304E-4</v>
      </c>
      <c r="Z5" s="15"/>
      <c r="AA5" s="38"/>
      <c r="AB5" s="39"/>
      <c r="AC5" s="15"/>
      <c r="AD5" s="15"/>
      <c r="AF5" s="15"/>
      <c r="AG5" s="15"/>
      <c r="AJ5" s="23">
        <v>15</v>
      </c>
      <c r="AK5" s="24">
        <f t="shared" ref="AK5:AK12" si="11">AK30</f>
        <v>2.7701724985223402E-3</v>
      </c>
      <c r="AL5" s="24">
        <f>-LN(-LN(AK5))</f>
        <v>-1.7730600000000001</v>
      </c>
      <c r="AM5" s="24">
        <f>AK5/AK6</f>
        <v>2.0393549318162504E-2</v>
      </c>
      <c r="AN5" s="24">
        <f>-LN(-LN(AM5))</f>
        <v>-1.359061037149504</v>
      </c>
      <c r="AO5" s="24">
        <f>((AL6*EXP(-AL6))-(AL5*EXP(-AL5)))/LN(AM5)</f>
        <v>-2.3278466282340591</v>
      </c>
      <c r="AP5" s="24"/>
      <c r="AQ5" s="24">
        <f>AN5-AO5</f>
        <v>0.96878559108455509</v>
      </c>
      <c r="AR5" s="24">
        <f>AO5</f>
        <v>-2.3278466282340591</v>
      </c>
      <c r="AX5" s="14">
        <v>10</v>
      </c>
      <c r="AY5" s="14">
        <v>-100000</v>
      </c>
      <c r="BA5" s="14"/>
      <c r="BE5" s="70"/>
      <c r="BF5" s="71"/>
      <c r="BG5" s="70"/>
      <c r="BH5" s="70"/>
      <c r="BI5" s="70"/>
      <c r="BJ5" s="70"/>
    </row>
    <row r="6" spans="1:62" ht="15" customHeight="1" x14ac:dyDescent="0.3">
      <c r="A6" s="64" t="s">
        <v>2</v>
      </c>
      <c r="B6" s="84">
        <v>3.2138</v>
      </c>
      <c r="C6" s="84">
        <v>2.6073</v>
      </c>
      <c r="D6" s="67">
        <f>IF($AV$29=1,B6,IF($AV$29=2,D5+C6-B5,D4+C6-B4))</f>
        <v>2.6505000000000001</v>
      </c>
      <c r="E6" s="83">
        <v>1</v>
      </c>
      <c r="F6" s="66">
        <f t="shared" si="0"/>
        <v>0.25865989046700494</v>
      </c>
      <c r="G6" s="21"/>
      <c r="H6" s="68" t="s">
        <v>25</v>
      </c>
      <c r="I6" s="69">
        <f>AC16</f>
        <v>1.0070869732738787</v>
      </c>
      <c r="J6" s="21"/>
      <c r="K6" s="14" t="str">
        <f>IF(OR(I6&lt;0.8,I6&gt;1.25),"caution!","ok")</f>
        <v>ok</v>
      </c>
      <c r="L6" s="13"/>
      <c r="M6" s="14">
        <v>3</v>
      </c>
      <c r="N6" s="15">
        <f t="shared" si="1"/>
        <v>0.66553672316384183</v>
      </c>
      <c r="O6" s="15">
        <f t="shared" si="2"/>
        <v>0.89854546125928025</v>
      </c>
      <c r="P6" s="15">
        <f t="shared" si="3"/>
        <v>1.3716680817709606</v>
      </c>
      <c r="Q6" s="15">
        <f t="shared" si="8"/>
        <v>-0.4731226205116803</v>
      </c>
      <c r="R6" s="15">
        <f t="shared" si="4"/>
        <v>-0.33492430178104132</v>
      </c>
      <c r="T6" s="15">
        <f t="shared" si="5"/>
        <v>-0.4731226205116803</v>
      </c>
      <c r="U6" s="15">
        <f t="shared" si="6"/>
        <v>-0.33492430178104132</v>
      </c>
      <c r="W6" s="15">
        <f t="shared" si="7"/>
        <v>-0.4731226205116803</v>
      </c>
      <c r="X6" s="15">
        <f t="shared" si="9"/>
        <v>-0.33492430178104132</v>
      </c>
      <c r="Y6" s="15">
        <f t="shared" si="10"/>
        <v>1.6241232358789371E-2</v>
      </c>
      <c r="Z6" s="15"/>
      <c r="AA6" s="38"/>
      <c r="AB6" s="39"/>
      <c r="AJ6" s="23">
        <v>20</v>
      </c>
      <c r="AK6" s="24">
        <f t="shared" si="11"/>
        <v>0.13583572213470577</v>
      </c>
      <c r="AL6" s="24">
        <f t="shared" ref="AL6:AL12" si="12">-LN(-LN(AK6))</f>
        <v>-0.69130000000000003</v>
      </c>
      <c r="AM6" s="24">
        <f t="shared" ref="AM6:AM11" si="13">AK6/AK7</f>
        <v>0.36001012048431658</v>
      </c>
      <c r="AN6" s="24">
        <f t="shared" ref="AN6:AN11" si="14">-LN(-LN(AM6))</f>
        <v>-2.1392671790158416E-2</v>
      </c>
      <c r="AO6" s="24">
        <f t="shared" ref="AO6:AO11" si="15">((AL7*EXP(-AL7))-(AL6*EXP(-AL6)))/LN(AM6)</f>
        <v>-1.3753010709239122</v>
      </c>
      <c r="AP6" s="24">
        <f>((AL6-AL7)^2*EXP(AL6+AL7))/(EXP(AL6)-EXP(AL7))^2</f>
        <v>0.9582451928132486</v>
      </c>
      <c r="AQ6" s="24">
        <f t="shared" ref="AQ6:AQ11" si="16">AN6-AO6</f>
        <v>1.3539083991337537</v>
      </c>
      <c r="AR6" s="24">
        <f t="shared" ref="AR6:AR11" si="17">AO6</f>
        <v>-1.3753010709239122</v>
      </c>
      <c r="AX6" s="14">
        <v>10.5</v>
      </c>
      <c r="AY6" s="14">
        <v>-50001.585455</v>
      </c>
      <c r="BA6" s="14"/>
      <c r="BE6" s="70"/>
      <c r="BF6" s="71"/>
      <c r="BG6" s="70"/>
      <c r="BH6" s="70"/>
      <c r="BI6" s="70"/>
      <c r="BJ6" s="70"/>
    </row>
    <row r="7" spans="1:62" ht="15" customHeight="1" x14ac:dyDescent="0.3">
      <c r="A7" s="64" t="s">
        <v>3</v>
      </c>
      <c r="B7" s="84">
        <v>4.7602000000000002</v>
      </c>
      <c r="C7" s="84">
        <v>4.1432000000000002</v>
      </c>
      <c r="D7" s="67">
        <f>IF($AV$29=1,B7,IF($AV$29=2,D6+C7-B6,D5+C7-B5))</f>
        <v>3.9824999999999999</v>
      </c>
      <c r="E7" s="83">
        <v>1</v>
      </c>
      <c r="F7" s="66">
        <f t="shared" si="0"/>
        <v>0.2095577016919333</v>
      </c>
      <c r="G7" s="21"/>
      <c r="H7" s="68" t="s">
        <v>65</v>
      </c>
      <c r="I7" s="72">
        <f>AG41</f>
        <v>5.5440426774282798</v>
      </c>
      <c r="J7" s="21"/>
      <c r="L7" s="13"/>
      <c r="M7" s="14">
        <v>4</v>
      </c>
      <c r="N7" s="15">
        <f t="shared" si="1"/>
        <v>0.82566239582037559</v>
      </c>
      <c r="O7" s="15">
        <f t="shared" si="2"/>
        <v>1.6525055996682072</v>
      </c>
      <c r="P7" s="15">
        <f t="shared" si="3"/>
        <v>1.1403597752364063</v>
      </c>
      <c r="Q7" s="15">
        <f t="shared" si="8"/>
        <v>0.5121458244318009</v>
      </c>
      <c r="R7" s="15">
        <f t="shared" si="4"/>
        <v>0.44064864091055989</v>
      </c>
      <c r="T7" s="15">
        <f t="shared" si="5"/>
        <v>0.5121458244318009</v>
      </c>
      <c r="U7" s="15">
        <f t="shared" si="6"/>
        <v>0.44064864091055989</v>
      </c>
      <c r="W7" s="15">
        <f t="shared" si="7"/>
        <v>0.5121458244318009</v>
      </c>
      <c r="X7" s="15">
        <f t="shared" si="9"/>
        <v>0.44064864091055989</v>
      </c>
      <c r="Y7" s="15">
        <f t="shared" si="10"/>
        <v>5.8917819445978821E-3</v>
      </c>
      <c r="Z7" s="15"/>
      <c r="AA7" s="38"/>
      <c r="AB7" s="58" t="s">
        <v>72</v>
      </c>
      <c r="AJ7" s="23">
        <v>25</v>
      </c>
      <c r="AK7" s="24">
        <f t="shared" si="11"/>
        <v>0.37731084323953967</v>
      </c>
      <c r="AL7" s="24">
        <f t="shared" si="12"/>
        <v>2.5640000000000027E-2</v>
      </c>
      <c r="AM7" s="24">
        <f t="shared" si="13"/>
        <v>0.61995981993834604</v>
      </c>
      <c r="AN7" s="24">
        <f t="shared" si="14"/>
        <v>0.73793408831619267</v>
      </c>
      <c r="AO7" s="24">
        <f t="shared" si="15"/>
        <v>-0.67479262598867551</v>
      </c>
      <c r="AP7" s="24">
        <f>((AL7-AL8)^2*EXP(AL7+AL8))/(EXP(AL7)-EXP(AL8))^2</f>
        <v>0.96294960921111461</v>
      </c>
      <c r="AQ7" s="24">
        <f t="shared" si="16"/>
        <v>1.4127267143048683</v>
      </c>
      <c r="AR7" s="24">
        <f t="shared" si="17"/>
        <v>-0.67479262598867551</v>
      </c>
      <c r="AU7" s="98"/>
      <c r="AV7" s="99"/>
      <c r="AX7" s="14">
        <v>11</v>
      </c>
      <c r="AY7" s="15">
        <v>-3.18852</v>
      </c>
      <c r="AZ7" s="15">
        <f t="shared" ref="AZ7:AZ38" si="18">EXP(-EXP(-AY7))</f>
        <v>2.9327157324372218E-11</v>
      </c>
      <c r="BA7" s="15"/>
      <c r="BE7" s="70"/>
      <c r="BF7" s="71"/>
      <c r="BG7" s="70"/>
      <c r="BH7" s="70"/>
      <c r="BI7" s="70"/>
      <c r="BJ7" s="70"/>
    </row>
    <row r="8" spans="1:62" ht="15" customHeight="1" x14ac:dyDescent="0.3">
      <c r="A8" s="64" t="s">
        <v>4</v>
      </c>
      <c r="B8" s="84">
        <v>6.2389999999999999</v>
      </c>
      <c r="C8" s="84">
        <v>5.3867000000000003</v>
      </c>
      <c r="D8" s="67">
        <f>IF($AV$29=1,B8,IF($AV$29=2,D7+C8-B7,D4+C6-B4+C8-B6))</f>
        <v>4.8234000000000004</v>
      </c>
      <c r="E8" s="83">
        <v>1</v>
      </c>
      <c r="F8" s="66">
        <f t="shared" si="0"/>
        <v>0.14893265176672585</v>
      </c>
      <c r="G8" s="21"/>
      <c r="H8" s="90" t="s">
        <v>66</v>
      </c>
      <c r="I8" s="89">
        <f>Y11</f>
        <v>7.6771163547740856E-2</v>
      </c>
      <c r="J8" s="21"/>
      <c r="L8" s="13"/>
      <c r="M8" s="14">
        <v>5</v>
      </c>
      <c r="N8" s="15">
        <f t="shared" si="1"/>
        <v>0.86069127959886516</v>
      </c>
      <c r="O8" s="15">
        <f t="shared" si="2"/>
        <v>1.8969906656974516</v>
      </c>
      <c r="P8" s="15">
        <f t="shared" si="3"/>
        <v>0.70220659411705366</v>
      </c>
      <c r="Q8" s="15">
        <f t="shared" si="8"/>
        <v>1.1947840715803979</v>
      </c>
      <c r="R8" s="15">
        <f t="shared" si="4"/>
        <v>1.5161902940480383</v>
      </c>
      <c r="T8" s="15" t="e">
        <f t="shared" si="5"/>
        <v>#N/A</v>
      </c>
      <c r="U8" s="15" t="e">
        <f t="shared" si="6"/>
        <v>#N/A</v>
      </c>
      <c r="W8" s="15">
        <f t="shared" si="7"/>
        <v>0</v>
      </c>
      <c r="X8" s="15">
        <f t="shared" si="9"/>
        <v>0</v>
      </c>
      <c r="Y8" s="15">
        <f t="shared" si="10"/>
        <v>0</v>
      </c>
      <c r="Z8" s="15"/>
      <c r="AA8" s="38"/>
      <c r="AB8" s="39" t="s">
        <v>28</v>
      </c>
      <c r="AC8" s="14">
        <f>COUNTIF($W$3:$W$10,"&lt;&gt;0")</f>
        <v>4</v>
      </c>
      <c r="AJ8" s="23">
        <v>30</v>
      </c>
      <c r="AK8" s="24">
        <f t="shared" si="11"/>
        <v>0.60860531780440641</v>
      </c>
      <c r="AL8" s="24">
        <f t="shared" si="12"/>
        <v>0.7</v>
      </c>
      <c r="AM8" s="24">
        <f t="shared" si="13"/>
        <v>0.76440612593374357</v>
      </c>
      <c r="AN8" s="24">
        <f t="shared" si="14"/>
        <v>1.3143233323529984</v>
      </c>
      <c r="AO8" s="24">
        <f t="shared" si="15"/>
        <v>3.9329731225932155E-2</v>
      </c>
      <c r="AP8" s="24">
        <f>((AL8-AL9)^2*EXP(AL8+AL9))/(EXP(AL8)-EXP(AL9))^2</f>
        <v>0.95096235574174137</v>
      </c>
      <c r="AQ8" s="24">
        <f t="shared" si="16"/>
        <v>1.2749936011270662</v>
      </c>
      <c r="AR8" s="24">
        <f t="shared" si="17"/>
        <v>3.9329731225932155E-2</v>
      </c>
      <c r="AU8" s="100" t="s">
        <v>12</v>
      </c>
      <c r="AV8" s="98">
        <v>12.5</v>
      </c>
      <c r="AX8" s="14">
        <v>11.5</v>
      </c>
      <c r="AY8" s="15">
        <v>-2.9443000000000001</v>
      </c>
      <c r="AZ8" s="15">
        <f t="shared" si="18"/>
        <v>5.6176097251456462E-9</v>
      </c>
      <c r="BA8" s="15"/>
      <c r="BE8" s="70"/>
      <c r="BF8" s="71"/>
      <c r="BG8" s="70"/>
      <c r="BH8" s="70"/>
      <c r="BI8" s="70"/>
      <c r="BJ8" s="70"/>
    </row>
    <row r="9" spans="1:62" ht="15" customHeight="1" x14ac:dyDescent="0.3">
      <c r="A9" s="64" t="s">
        <v>5</v>
      </c>
      <c r="B9" s="84">
        <v>7.1204000000000001</v>
      </c>
      <c r="C9" s="84">
        <v>6.3818000000000001</v>
      </c>
      <c r="D9" s="67">
        <f>IF($AV$29=1,B9,IF($AV$29=2,D8+C9-B8,D5+C7-B5+C9-B7))</f>
        <v>5.6040999999999999</v>
      </c>
      <c r="E9" s="83"/>
      <c r="F9" s="66">
        <f t="shared" si="0"/>
        <v>6.7874341463877386E-2</v>
      </c>
      <c r="G9" s="21"/>
      <c r="H9" s="21"/>
      <c r="I9" s="21"/>
      <c r="J9" s="21"/>
      <c r="L9" s="13"/>
      <c r="M9" s="14">
        <v>6</v>
      </c>
      <c r="N9" s="15">
        <f t="shared" si="1"/>
        <v>1.0191681670212958</v>
      </c>
      <c r="O9" s="15" t="e">
        <f t="shared" si="2"/>
        <v>#N/A</v>
      </c>
      <c r="P9" s="15">
        <f t="shared" si="3"/>
        <v>0.27048659545151876</v>
      </c>
      <c r="Q9" s="15" t="e">
        <f t="shared" si="8"/>
        <v>#N/A</v>
      </c>
      <c r="R9" s="15">
        <f t="shared" si="4"/>
        <v>3.2238040870214846</v>
      </c>
      <c r="T9" s="15" t="e">
        <f t="shared" si="5"/>
        <v>#N/A</v>
      </c>
      <c r="U9" s="15" t="e">
        <f t="shared" si="6"/>
        <v>#N/A</v>
      </c>
      <c r="W9" s="15">
        <f t="shared" si="7"/>
        <v>0</v>
      </c>
      <c r="X9" s="15">
        <f t="shared" si="9"/>
        <v>0</v>
      </c>
      <c r="Y9" s="15">
        <f t="shared" si="10"/>
        <v>0</v>
      </c>
      <c r="Z9" s="15"/>
      <c r="AA9" s="38"/>
      <c r="AB9" s="39"/>
      <c r="AJ9" s="23">
        <v>35</v>
      </c>
      <c r="AK9" s="24">
        <f t="shared" si="11"/>
        <v>0.79618058667567304</v>
      </c>
      <c r="AL9" s="24">
        <f t="shared" si="12"/>
        <v>1.47872</v>
      </c>
      <c r="AM9" s="24">
        <f t="shared" si="13"/>
        <v>0.85593285611670689</v>
      </c>
      <c r="AN9" s="24">
        <f t="shared" si="14"/>
        <v>1.8607022667572284</v>
      </c>
      <c r="AO9" s="24">
        <f t="shared" si="15"/>
        <v>0.94501198471450287</v>
      </c>
      <c r="AP9" s="24"/>
      <c r="AQ9" s="24">
        <f t="shared" si="16"/>
        <v>0.91569028204272551</v>
      </c>
      <c r="AR9" s="24">
        <f t="shared" si="17"/>
        <v>0.94501198471450287</v>
      </c>
      <c r="AU9" s="100" t="s">
        <v>0</v>
      </c>
      <c r="AV9" s="98">
        <v>17.5</v>
      </c>
      <c r="AX9" s="14">
        <v>12</v>
      </c>
      <c r="AY9" s="15">
        <v>-2.7000799999999998</v>
      </c>
      <c r="AZ9" s="15">
        <f t="shared" si="18"/>
        <v>3.4458599636955865E-7</v>
      </c>
      <c r="BA9" s="15"/>
      <c r="BE9" s="70"/>
      <c r="BF9" s="71"/>
      <c r="BG9" s="70"/>
      <c r="BH9" s="70"/>
      <c r="BI9" s="70"/>
      <c r="BJ9" s="70"/>
    </row>
    <row r="10" spans="1:62" ht="15" customHeight="1" x14ac:dyDescent="0.3">
      <c r="A10" s="64" t="s">
        <v>6</v>
      </c>
      <c r="B10" s="84">
        <v>7.5103</v>
      </c>
      <c r="C10" s="84">
        <v>6.9142999999999999</v>
      </c>
      <c r="D10" s="67">
        <f>IF($AV$29=1,B10,IF($AV$29=2,D9+C10-B9,D6+C8-B6+C10-B8))</f>
        <v>5.4987000000000004</v>
      </c>
      <c r="E10" s="83"/>
      <c r="F10" s="66">
        <f t="shared" si="0"/>
        <v>8.7721157163509027E-3</v>
      </c>
      <c r="G10" s="21"/>
      <c r="H10" s="21"/>
      <c r="I10" s="21"/>
      <c r="J10" s="21"/>
      <c r="L10" s="13"/>
      <c r="M10" s="14">
        <v>7</v>
      </c>
      <c r="N10" s="15" t="e">
        <f>IF(D11=0,NA(),D10/D11)</f>
        <v>#N/A</v>
      </c>
      <c r="O10" s="15" t="e">
        <f t="shared" si="2"/>
        <v>#N/A</v>
      </c>
      <c r="P10" s="15" t="e">
        <f t="shared" si="3"/>
        <v>#DIV/0!</v>
      </c>
      <c r="Q10" s="15" t="e">
        <f t="shared" si="8"/>
        <v>#N/A</v>
      </c>
      <c r="R10" s="15" t="e">
        <f t="shared" si="4"/>
        <v>#DIV/0!</v>
      </c>
      <c r="T10" s="15" t="e">
        <f t="shared" si="5"/>
        <v>#N/A</v>
      </c>
      <c r="U10" s="15" t="e">
        <f t="shared" si="6"/>
        <v>#N/A</v>
      </c>
      <c r="W10" s="15">
        <f t="shared" si="7"/>
        <v>0</v>
      </c>
      <c r="X10" s="15">
        <f t="shared" si="9"/>
        <v>0</v>
      </c>
      <c r="Y10" s="15">
        <f t="shared" si="10"/>
        <v>0</v>
      </c>
      <c r="Z10" s="15"/>
      <c r="AA10" s="38"/>
      <c r="AB10" s="39" t="s">
        <v>73</v>
      </c>
      <c r="AC10" s="15">
        <f>SUM(W3:W10)</f>
        <v>-2.7093954997255825</v>
      </c>
      <c r="AD10" s="15"/>
      <c r="AJ10" s="23">
        <v>40</v>
      </c>
      <c r="AK10" s="24">
        <f t="shared" si="11"/>
        <v>0.9301904711169463</v>
      </c>
      <c r="AL10" s="24">
        <f t="shared" si="12"/>
        <v>2.6260200000000005</v>
      </c>
      <c r="AM10" s="24">
        <f t="shared" si="13"/>
        <v>0.93780278582953702</v>
      </c>
      <c r="AN10" s="24">
        <f t="shared" si="14"/>
        <v>2.7455090802066415</v>
      </c>
      <c r="AO10" s="24">
        <f t="shared" si="15"/>
        <v>2.3488652855486118</v>
      </c>
      <c r="AP10" s="24"/>
      <c r="AQ10" s="24">
        <f t="shared" si="16"/>
        <v>0.39664379465802968</v>
      </c>
      <c r="AR10" s="24">
        <f t="shared" si="17"/>
        <v>2.3488652855486118</v>
      </c>
      <c r="AU10" s="100" t="s">
        <v>1</v>
      </c>
      <c r="AV10" s="98">
        <v>22.5</v>
      </c>
      <c r="AX10" s="14">
        <v>12.5</v>
      </c>
      <c r="AY10" s="15">
        <v>-2.5365149999999996</v>
      </c>
      <c r="AZ10" s="15">
        <f t="shared" si="18"/>
        <v>3.2542158199452286E-6</v>
      </c>
      <c r="BA10" s="15"/>
      <c r="BE10" s="70"/>
      <c r="BF10" s="71"/>
      <c r="BG10" s="70"/>
      <c r="BH10" s="70"/>
      <c r="BI10" s="70"/>
      <c r="BJ10" s="70"/>
    </row>
    <row r="11" spans="1:62" ht="15" customHeight="1" x14ac:dyDescent="0.3">
      <c r="A11" s="64" t="s">
        <v>36</v>
      </c>
      <c r="B11" s="84"/>
      <c r="C11" s="84"/>
      <c r="D11" s="73"/>
      <c r="E11" s="83"/>
      <c r="F11" s="66"/>
      <c r="G11" s="21"/>
      <c r="H11" s="21"/>
      <c r="I11" s="21"/>
      <c r="J11" s="21"/>
      <c r="M11" s="15"/>
      <c r="N11" s="15"/>
      <c r="O11" s="15"/>
      <c r="P11" s="15"/>
      <c r="Q11" s="15"/>
      <c r="R11" s="15"/>
      <c r="T11" s="15"/>
      <c r="U11" s="15"/>
      <c r="W11" s="15"/>
      <c r="X11" s="15"/>
      <c r="Y11" s="15">
        <f>SQRT(SUM(Y3:Y10)/COUNTIF(Y3:Y10,"&lt;&gt;0"))</f>
        <v>7.6771163547740856E-2</v>
      </c>
      <c r="Z11" s="15"/>
      <c r="AA11" s="38"/>
      <c r="AB11" s="39" t="s">
        <v>74</v>
      </c>
      <c r="AC11" s="15">
        <f>SUM(X3:X10)</f>
        <v>-2.6570306923274298</v>
      </c>
      <c r="AD11" s="15"/>
      <c r="AJ11" s="23">
        <v>45</v>
      </c>
      <c r="AK11" s="24">
        <f t="shared" si="11"/>
        <v>0.99188281925836119</v>
      </c>
      <c r="AL11" s="24">
        <f t="shared" si="12"/>
        <v>4.8097000000000021</v>
      </c>
      <c r="AM11" s="24">
        <f t="shared" si="13"/>
        <v>0.99188381114217239</v>
      </c>
      <c r="AN11" s="24">
        <f t="shared" si="14"/>
        <v>4.8098227023925411</v>
      </c>
      <c r="AO11" s="24">
        <f t="shared" si="15"/>
        <v>4.8085948977612238</v>
      </c>
      <c r="AP11" s="24"/>
      <c r="AQ11" s="24">
        <f t="shared" si="16"/>
        <v>1.2278046313172197E-3</v>
      </c>
      <c r="AR11" s="24">
        <f t="shared" si="17"/>
        <v>4.8085948977612238</v>
      </c>
      <c r="AU11" s="100" t="s">
        <v>2</v>
      </c>
      <c r="AV11" s="98">
        <v>27.5</v>
      </c>
      <c r="AX11" s="14">
        <v>13</v>
      </c>
      <c r="AY11" s="15">
        <v>-2.3729499999999999</v>
      </c>
      <c r="AZ11" s="15">
        <f t="shared" si="18"/>
        <v>2.1900607447836132E-5</v>
      </c>
      <c r="BA11" s="15"/>
      <c r="BE11" s="70"/>
      <c r="BF11" s="71"/>
      <c r="BG11" s="70"/>
      <c r="BH11" s="70"/>
      <c r="BI11" s="70"/>
      <c r="BJ11" s="70"/>
    </row>
    <row r="12" spans="1:62" ht="15" customHeight="1" thickBot="1" x14ac:dyDescent="0.35">
      <c r="A12" s="22" t="s">
        <v>50</v>
      </c>
      <c r="B12" s="13"/>
      <c r="D12" s="74"/>
      <c r="E12" s="64"/>
      <c r="F12" s="75">
        <f>5*SUM(F4:F10)</f>
        <v>5.530481725529178</v>
      </c>
      <c r="G12" s="21"/>
      <c r="H12" s="21"/>
      <c r="I12" s="21"/>
      <c r="J12" s="21"/>
      <c r="M12" s="15"/>
      <c r="N12" s="15"/>
      <c r="O12" s="15"/>
      <c r="P12" s="15"/>
      <c r="Q12" s="15"/>
      <c r="R12" s="15"/>
      <c r="T12" s="15"/>
      <c r="U12" s="15"/>
      <c r="W12" s="15"/>
      <c r="X12" s="15"/>
      <c r="Y12" s="15"/>
      <c r="Z12" s="15"/>
      <c r="AA12" s="38"/>
      <c r="AB12" s="39" t="s">
        <v>75</v>
      </c>
      <c r="AC12" s="15">
        <f>SUMPRODUCT(W3:W10,X3:X10)</f>
        <v>4.443307150952605</v>
      </c>
      <c r="AD12" s="15"/>
      <c r="AJ12" s="25">
        <v>50</v>
      </c>
      <c r="AK12" s="26">
        <f t="shared" si="11"/>
        <v>0.99999899999999997</v>
      </c>
      <c r="AL12" s="27">
        <f t="shared" si="12"/>
        <v>13.81551005793531</v>
      </c>
      <c r="AM12" s="27"/>
      <c r="AN12" s="27"/>
      <c r="AO12" s="27"/>
      <c r="AP12" s="27"/>
      <c r="AQ12" s="27"/>
      <c r="AR12" s="27"/>
      <c r="AU12" s="100" t="s">
        <v>3</v>
      </c>
      <c r="AV12" s="98">
        <v>32.5</v>
      </c>
      <c r="AX12" s="14">
        <v>13.5</v>
      </c>
      <c r="AY12" s="15">
        <v>-2.222785</v>
      </c>
      <c r="AZ12" s="15">
        <f t="shared" si="18"/>
        <v>9.775863527613093E-5</v>
      </c>
      <c r="BA12" s="15"/>
      <c r="BJ12" s="76"/>
    </row>
    <row r="13" spans="1:62" ht="15" customHeight="1" x14ac:dyDescent="0.3">
      <c r="G13" s="21"/>
      <c r="H13" s="21"/>
      <c r="I13" s="21"/>
      <c r="J13" s="21"/>
      <c r="M13" s="15"/>
      <c r="N13" s="15"/>
      <c r="O13" s="15"/>
      <c r="P13" s="15"/>
      <c r="Q13" s="15"/>
      <c r="R13" s="15"/>
      <c r="T13" s="15"/>
      <c r="U13" s="15"/>
      <c r="W13" s="15"/>
      <c r="X13" s="15"/>
      <c r="Y13" s="15"/>
      <c r="Z13" s="15"/>
      <c r="AA13" s="38"/>
      <c r="AB13" s="39" t="s">
        <v>76</v>
      </c>
      <c r="AC13" s="15">
        <f>SUMPRODUCT(X3:X10,X3:X10)</f>
        <v>4.3899203525437676</v>
      </c>
      <c r="AD13" s="15"/>
      <c r="AP13" s="28">
        <f>AVERAGE(AP6:AP8)</f>
        <v>0.95738571925536819</v>
      </c>
      <c r="AU13" s="100" t="s">
        <v>4</v>
      </c>
      <c r="AV13" s="98">
        <v>37.5</v>
      </c>
      <c r="AX13" s="14">
        <v>14</v>
      </c>
      <c r="AY13" s="15">
        <v>-2.0726200000000001</v>
      </c>
      <c r="AZ13" s="15">
        <f t="shared" si="18"/>
        <v>3.5421255833032426E-4</v>
      </c>
      <c r="BA13" s="15"/>
    </row>
    <row r="14" spans="1:62" ht="15" customHeight="1" thickBot="1" x14ac:dyDescent="0.35">
      <c r="G14" s="21"/>
      <c r="H14" s="21"/>
      <c r="I14" s="21"/>
      <c r="J14" s="21"/>
      <c r="L14" s="13"/>
      <c r="N14" s="15"/>
      <c r="O14" s="15"/>
      <c r="P14" s="15"/>
      <c r="Q14" s="15"/>
      <c r="R14" s="15"/>
      <c r="T14" s="15"/>
      <c r="U14" s="15"/>
      <c r="W14" s="15"/>
      <c r="X14" s="15"/>
      <c r="Y14" s="15"/>
      <c r="Z14" s="15"/>
      <c r="AA14" s="38"/>
      <c r="AB14" s="39"/>
      <c r="AJ14" s="38" t="s">
        <v>86</v>
      </c>
      <c r="AK14" s="38"/>
      <c r="AL14" s="38"/>
      <c r="AM14" s="38"/>
      <c r="AN14" s="38"/>
      <c r="AO14" s="38"/>
      <c r="AP14" s="38"/>
      <c r="AQ14" s="38"/>
      <c r="AR14" s="38"/>
      <c r="AU14" s="100" t="s">
        <v>5</v>
      </c>
      <c r="AV14" s="98">
        <v>42.5</v>
      </c>
      <c r="AX14" s="14">
        <v>14.5</v>
      </c>
      <c r="AY14" s="15">
        <v>-1.9228400000000001</v>
      </c>
      <c r="AZ14" s="15">
        <f t="shared" si="18"/>
        <v>1.0697208793446925E-3</v>
      </c>
      <c r="BA14" s="15"/>
    </row>
    <row r="15" spans="1:62" ht="15" customHeight="1" thickBot="1" x14ac:dyDescent="0.35">
      <c r="G15" s="13"/>
      <c r="H15" s="13"/>
      <c r="I15" s="13"/>
      <c r="J15" s="13"/>
      <c r="L15" s="13"/>
      <c r="P15" s="44" t="s">
        <v>69</v>
      </c>
      <c r="Q15" s="44"/>
      <c r="R15" s="44"/>
      <c r="W15" s="15"/>
      <c r="X15" s="15"/>
      <c r="Y15" s="15"/>
      <c r="Z15" s="15"/>
      <c r="AA15" s="38"/>
      <c r="AB15" s="39"/>
      <c r="AJ15" s="41" t="s">
        <v>87</v>
      </c>
      <c r="AK15" s="41" t="s">
        <v>15</v>
      </c>
      <c r="AL15" s="41" t="s">
        <v>16</v>
      </c>
      <c r="AM15" s="41" t="s">
        <v>17</v>
      </c>
      <c r="AN15" s="41" t="s">
        <v>30</v>
      </c>
      <c r="AO15" s="41" t="s">
        <v>31</v>
      </c>
      <c r="AP15" s="41" t="s">
        <v>32</v>
      </c>
      <c r="AQ15" s="41" t="s">
        <v>33</v>
      </c>
      <c r="AR15" s="41" t="s">
        <v>18</v>
      </c>
      <c r="AS15" s="41" t="s">
        <v>19</v>
      </c>
      <c r="AU15" s="100" t="s">
        <v>6</v>
      </c>
      <c r="AV15" s="98">
        <v>47.5</v>
      </c>
      <c r="AX15" s="14">
        <v>15</v>
      </c>
      <c r="AY15" s="15">
        <v>-1.7730600000000001</v>
      </c>
      <c r="AZ15" s="15">
        <f t="shared" si="18"/>
        <v>2.7701724985223402E-3</v>
      </c>
      <c r="BA15" s="15">
        <f>0.2*(0.25*(AZ5+AZ15)+0.5*SUM(AZ6:AZ14))</f>
        <v>2.9322833784133513E-4</v>
      </c>
    </row>
    <row r="16" spans="1:62" ht="15" customHeight="1" x14ac:dyDescent="0.3">
      <c r="G16" s="13"/>
      <c r="H16" s="13"/>
      <c r="I16" s="13"/>
      <c r="J16" s="13"/>
      <c r="P16" s="45"/>
      <c r="Q16" s="45" t="s">
        <v>48</v>
      </c>
      <c r="R16" s="45" t="s">
        <v>49</v>
      </c>
      <c r="AA16" s="38"/>
      <c r="AB16" s="39" t="s">
        <v>77</v>
      </c>
      <c r="AC16" s="15">
        <f>(AC12-(AC10*AC11)/AC8)/(AC13-(AC11*AC11/AC8))</f>
        <v>1.0070869732738787</v>
      </c>
      <c r="AD16" s="15"/>
      <c r="AF16" s="15"/>
      <c r="AG16" s="15"/>
      <c r="AJ16" s="29" t="str">
        <f>"10-14"</f>
        <v>10-14</v>
      </c>
      <c r="AK16" s="29">
        <v>0</v>
      </c>
      <c r="AL16" s="24">
        <f t="shared" ref="AL16:AL24" si="19">AN30</f>
        <v>2.9322833784133513E-4</v>
      </c>
      <c r="AM16" s="24">
        <f>-LN(-LN(AL16))</f>
        <v>-2.0961215219194353</v>
      </c>
      <c r="AN16" s="24">
        <f>AL16/AL17</f>
        <v>5.6266363779680431E-3</v>
      </c>
      <c r="AO16" s="24">
        <f>-LN(-LN(AN16))</f>
        <v>-1.6448520554679693</v>
      </c>
      <c r="AP16" s="24">
        <f t="shared" ref="AP16:AP23" si="20">((AM17*EXP(-AM17))-(AM16*EXP(-AM16)))/LN(AN16)</f>
        <v>-2.6737568949099626</v>
      </c>
      <c r="AQ16" s="24"/>
      <c r="AR16" s="24">
        <f>AO16-AP16</f>
        <v>1.0289048394419933</v>
      </c>
      <c r="AS16" s="30">
        <f t="shared" ref="AS16:AS23" si="21">AP16</f>
        <v>-2.6737568949099626</v>
      </c>
      <c r="AU16" s="100" t="s">
        <v>37</v>
      </c>
      <c r="AV16" s="98">
        <v>52.5</v>
      </c>
      <c r="AX16" s="14">
        <v>15.5</v>
      </c>
      <c r="AY16" s="15">
        <v>-1.6329600000000002</v>
      </c>
      <c r="AZ16" s="15">
        <f t="shared" si="18"/>
        <v>5.9819745761900212E-3</v>
      </c>
      <c r="BA16" s="15">
        <f>0.2*(0.25*(AZ6+AZ16)+0.5*SUM(AZ7:AZ15))</f>
        <v>7.3083569157695325E-4</v>
      </c>
    </row>
    <row r="17" spans="1:53" ht="15" customHeight="1" x14ac:dyDescent="0.3">
      <c r="A17" s="22"/>
      <c r="B17" s="13"/>
      <c r="F17" s="13"/>
      <c r="G17" s="13"/>
      <c r="H17" s="13"/>
      <c r="I17" s="13"/>
      <c r="J17" s="13"/>
      <c r="P17" s="58">
        <v>9</v>
      </c>
      <c r="AA17" s="38"/>
      <c r="AB17" s="39" t="s">
        <v>78</v>
      </c>
      <c r="AC17" s="15">
        <f>AC10/AC8-(AC16*AC11/AC8)</f>
        <v>-8.3836254734381832E-3</v>
      </c>
      <c r="AD17" s="15"/>
      <c r="AF17" s="15"/>
      <c r="AG17" s="15"/>
      <c r="AJ17" s="29" t="s">
        <v>0</v>
      </c>
      <c r="AK17" s="29">
        <v>1</v>
      </c>
      <c r="AL17" s="24">
        <f t="shared" si="19"/>
        <v>5.211432162019846E-2</v>
      </c>
      <c r="AM17" s="24">
        <f t="shared" ref="AM17:AM23" si="22">-LN(-LN(AL17))</f>
        <v>-1.0832669762582403</v>
      </c>
      <c r="AN17" s="24">
        <f t="shared" ref="AN17:AN23" si="23">AL17/AL18</f>
        <v>0.20441185259944758</v>
      </c>
      <c r="AO17" s="24">
        <f t="shared" ref="AO17:AO23" si="24">-LN(-LN(AN17))</f>
        <v>-0.46223505376200369</v>
      </c>
      <c r="AP17" s="24">
        <f t="shared" si="20"/>
        <v>-1.7468683897346409</v>
      </c>
      <c r="AQ17" s="24">
        <f>(AP17^2)+(AM17^2*EXP(-AM17)-AM18^2*EXP(-AM18))/LN(AN17)</f>
        <v>0.95191729926939406</v>
      </c>
      <c r="AR17" s="24">
        <f t="shared" ref="AR17:AR23" si="25">AO17-AP17</f>
        <v>1.2846333359726372</v>
      </c>
      <c r="AS17" s="30">
        <f t="shared" si="21"/>
        <v>-1.7468683897346409</v>
      </c>
      <c r="AX17" s="14">
        <v>16</v>
      </c>
      <c r="AY17" s="15">
        <v>-1.4928600000000001</v>
      </c>
      <c r="AZ17" s="15">
        <f t="shared" si="18"/>
        <v>1.1680858806473245E-2</v>
      </c>
      <c r="BA17" s="15">
        <f t="shared" ref="BA17:BA80" si="26">0.2*(0.25*(AZ7+AZ17)+0.5*SUM(AZ8:AZ16))</f>
        <v>1.6139773592437588E-3</v>
      </c>
    </row>
    <row r="18" spans="1:53" ht="15" customHeight="1" x14ac:dyDescent="0.3">
      <c r="A18" s="22"/>
      <c r="B18" s="13"/>
      <c r="F18" s="21"/>
      <c r="G18" s="21"/>
      <c r="H18" s="21"/>
      <c r="I18" s="21"/>
      <c r="J18" s="21"/>
      <c r="P18" s="58">
        <v>9.5</v>
      </c>
      <c r="Q18" s="15"/>
      <c r="R18" s="15"/>
      <c r="AA18" s="38"/>
      <c r="AB18" s="39" t="s">
        <v>27</v>
      </c>
      <c r="AC18" s="15">
        <f>AC17-0.5*AC3*(AC16-1)^2</f>
        <v>-8.4076953184789149E-3</v>
      </c>
      <c r="AD18" s="15"/>
      <c r="AF18" s="15"/>
      <c r="AG18" s="15"/>
      <c r="AJ18" s="29" t="s">
        <v>1</v>
      </c>
      <c r="AK18" s="29">
        <v>2</v>
      </c>
      <c r="AL18" s="24">
        <f t="shared" si="19"/>
        <v>0.25494765082100379</v>
      </c>
      <c r="AM18" s="24">
        <f t="shared" si="22"/>
        <v>-0.31239691342690196</v>
      </c>
      <c r="AN18" s="24">
        <f t="shared" si="23"/>
        <v>0.51432081242046368</v>
      </c>
      <c r="AO18" s="24">
        <f t="shared" si="24"/>
        <v>0.40810650420215816</v>
      </c>
      <c r="AP18" s="24">
        <f t="shared" si="20"/>
        <v>-1.0158866417223078</v>
      </c>
      <c r="AQ18" s="24">
        <f>(AP18^2)+(AM18^2*EXP(-AM18)-AM19^2*EXP(-AM19))/LN(AN18)</f>
        <v>0.96378736557860156</v>
      </c>
      <c r="AR18" s="24">
        <f t="shared" si="25"/>
        <v>1.4239931459244659</v>
      </c>
      <c r="AS18" s="30">
        <f t="shared" si="21"/>
        <v>-1.0158866417223078</v>
      </c>
      <c r="AX18" s="14">
        <v>16.5</v>
      </c>
      <c r="AY18" s="15">
        <v>-1.3717350000000001</v>
      </c>
      <c r="AZ18" s="15">
        <f t="shared" si="18"/>
        <v>1.9405777353897931E-2</v>
      </c>
      <c r="BA18" s="15">
        <f t="shared" si="26"/>
        <v>3.1683088849154733E-3</v>
      </c>
    </row>
    <row r="19" spans="1:53" ht="15" customHeight="1" x14ac:dyDescent="0.3">
      <c r="A19" s="22"/>
      <c r="B19" s="13"/>
      <c r="F19" s="21"/>
      <c r="G19" s="21"/>
      <c r="H19" s="21"/>
      <c r="I19" s="21"/>
      <c r="J19" s="21"/>
      <c r="P19" s="58">
        <v>10</v>
      </c>
      <c r="Q19" s="15"/>
      <c r="R19" s="15"/>
      <c r="AJ19" s="29" t="s">
        <v>2</v>
      </c>
      <c r="AK19" s="29">
        <v>3</v>
      </c>
      <c r="AL19" s="24">
        <f t="shared" si="19"/>
        <v>0.49569771369193766</v>
      </c>
      <c r="AM19" s="24">
        <f t="shared" si="22"/>
        <v>0.35412250953269508</v>
      </c>
      <c r="AN19" s="24">
        <f t="shared" si="23"/>
        <v>0.70144871899951622</v>
      </c>
      <c r="AO19" s="24">
        <f t="shared" si="24"/>
        <v>1.0367437799899193</v>
      </c>
      <c r="AP19" s="24">
        <f t="shared" si="20"/>
        <v>-0.33492430178104132</v>
      </c>
      <c r="AQ19" s="24">
        <f>(AP19^2)+(AM19^2*EXP(-AM19)-AM20^2*EXP(-AM20))/LN(AN19)</f>
        <v>0.9597263631556282</v>
      </c>
      <c r="AR19" s="24">
        <f t="shared" si="25"/>
        <v>1.3716680817709606</v>
      </c>
      <c r="AS19" s="30">
        <f t="shared" si="21"/>
        <v>-0.33492430178104132</v>
      </c>
      <c r="AX19" s="14">
        <v>17</v>
      </c>
      <c r="AY19" s="15">
        <v>-1.25061</v>
      </c>
      <c r="AZ19" s="15">
        <f t="shared" si="18"/>
        <v>3.0425545340527094E-2</v>
      </c>
      <c r="BA19" s="15">
        <f t="shared" si="26"/>
        <v>5.6598575094564197E-3</v>
      </c>
    </row>
    <row r="20" spans="1:53" ht="15" customHeight="1" thickBot="1" x14ac:dyDescent="0.35">
      <c r="A20" s="22"/>
      <c r="B20" s="13"/>
      <c r="F20" s="21"/>
      <c r="G20" s="21"/>
      <c r="H20" s="21"/>
      <c r="I20" s="21"/>
      <c r="J20" s="21"/>
      <c r="P20" s="58">
        <v>10.5</v>
      </c>
      <c r="Q20" s="15"/>
      <c r="R20" s="15"/>
      <c r="AB20" s="16" t="s">
        <v>79</v>
      </c>
      <c r="AC20" s="16" t="s">
        <v>80</v>
      </c>
      <c r="AD20" s="16"/>
      <c r="AE20" s="16"/>
      <c r="AF20" s="16"/>
      <c r="AG20" s="16"/>
      <c r="AJ20" s="29" t="s">
        <v>3</v>
      </c>
      <c r="AK20" s="29">
        <v>4</v>
      </c>
      <c r="AL20" s="24">
        <f t="shared" si="19"/>
        <v>0.70667705316927032</v>
      </c>
      <c r="AM20" s="24">
        <f t="shared" si="22"/>
        <v>1.0579075746568081</v>
      </c>
      <c r="AN20" s="24">
        <f t="shared" si="23"/>
        <v>0.81402231912488943</v>
      </c>
      <c r="AO20" s="24">
        <f t="shared" si="24"/>
        <v>1.5810084161469662</v>
      </c>
      <c r="AP20" s="24">
        <f t="shared" si="20"/>
        <v>0.44064864091055989</v>
      </c>
      <c r="AQ20" s="24"/>
      <c r="AR20" s="24">
        <f t="shared" si="25"/>
        <v>1.1403597752364063</v>
      </c>
      <c r="AS20" s="30">
        <f t="shared" si="21"/>
        <v>0.44064864091055989</v>
      </c>
      <c r="AX20" s="14">
        <v>17.5</v>
      </c>
      <c r="AY20" s="15">
        <v>-1.1476999999999999</v>
      </c>
      <c r="AZ20" s="15">
        <f t="shared" si="18"/>
        <v>4.2811975547628743E-2</v>
      </c>
      <c r="BA20" s="15">
        <f t="shared" si="26"/>
        <v>9.3215536137733947E-3</v>
      </c>
    </row>
    <row r="21" spans="1:53" ht="15" customHeight="1" thickBot="1" x14ac:dyDescent="0.35">
      <c r="A21" s="22"/>
      <c r="B21" s="13"/>
      <c r="F21" s="21"/>
      <c r="G21" s="21"/>
      <c r="H21" s="21"/>
      <c r="I21" s="21"/>
      <c r="J21" s="21"/>
      <c r="P21" s="58">
        <v>11</v>
      </c>
      <c r="Q21" s="15">
        <f t="shared" ref="Q21:Q52" si="27">$I$7*EXP(-EXP(-($I$5+$I$6*AY7)))</f>
        <v>7.5756113739275099E-11</v>
      </c>
      <c r="R21" s="15">
        <f t="shared" ref="R21:R84" si="28">(Q22-Q20)/2</f>
        <v>8.8563683699762985E-9</v>
      </c>
      <c r="AB21" s="41" t="s">
        <v>21</v>
      </c>
      <c r="AC21" s="41" t="s">
        <v>9</v>
      </c>
      <c r="AD21" s="41" t="s">
        <v>81</v>
      </c>
      <c r="AE21" s="41" t="s">
        <v>47</v>
      </c>
      <c r="AF21" s="41" t="s">
        <v>10</v>
      </c>
      <c r="AG21" s="41" t="s">
        <v>11</v>
      </c>
      <c r="AJ21" s="29" t="s">
        <v>4</v>
      </c>
      <c r="AK21" s="29">
        <v>5</v>
      </c>
      <c r="AL21" s="24">
        <f t="shared" si="19"/>
        <v>0.8681298246576088</v>
      </c>
      <c r="AM21" s="24">
        <f t="shared" si="22"/>
        <v>1.9560634644574093</v>
      </c>
      <c r="AN21" s="24">
        <f t="shared" si="23"/>
        <v>0.89692470531615764</v>
      </c>
      <c r="AO21" s="24">
        <f t="shared" si="24"/>
        <v>2.218396888165092</v>
      </c>
      <c r="AP21" s="24">
        <f t="shared" si="20"/>
        <v>1.5161902940480383</v>
      </c>
      <c r="AQ21" s="24"/>
      <c r="AR21" s="24">
        <f t="shared" si="25"/>
        <v>0.70220659411705366</v>
      </c>
      <c r="AS21" s="30">
        <f t="shared" si="21"/>
        <v>1.5161902940480383</v>
      </c>
      <c r="AX21" s="14">
        <v>18</v>
      </c>
      <c r="AY21" s="15">
        <v>-1.0447900000000001</v>
      </c>
      <c r="AZ21" s="15">
        <f t="shared" si="18"/>
        <v>5.8262217114629582E-2</v>
      </c>
      <c r="BA21" s="15">
        <f t="shared" si="26"/>
        <v>1.4374005505722924E-2</v>
      </c>
    </row>
    <row r="22" spans="1:53" ht="15" customHeight="1" x14ac:dyDescent="0.3">
      <c r="A22" s="22"/>
      <c r="B22" s="13"/>
      <c r="F22" s="21"/>
      <c r="G22" s="21"/>
      <c r="H22" s="21"/>
      <c r="I22" s="21"/>
      <c r="J22" s="21"/>
      <c r="P22" s="58">
        <v>11.5</v>
      </c>
      <c r="Q22" s="15">
        <f t="shared" si="27"/>
        <v>1.7712736739952597E-8</v>
      </c>
      <c r="R22" s="15">
        <f t="shared" si="28"/>
        <v>6.3036380488604794E-7</v>
      </c>
      <c r="AB22" s="32">
        <v>15</v>
      </c>
      <c r="AC22" s="15">
        <f t="shared" ref="AC22:AC29" si="29">AL5</f>
        <v>-1.7730600000000001</v>
      </c>
      <c r="AD22" s="15">
        <f t="shared" ref="AD22:AD29" si="30">AC$18+AC22*AC$16</f>
        <v>-1.7940333241514623</v>
      </c>
      <c r="AE22" s="15">
        <f>EXP(-EXP(-AD22))</f>
        <v>2.4451259293071128E-3</v>
      </c>
      <c r="AF22" s="15">
        <f t="shared" ref="AF22:AF29" si="31">AE22*AG$41</f>
        <v>1.3555882503765116E-2</v>
      </c>
      <c r="AG22" s="15">
        <f>AF22/5</f>
        <v>2.7111765007530233E-3</v>
      </c>
      <c r="AJ22" s="29" t="s">
        <v>5</v>
      </c>
      <c r="AK22" s="29">
        <v>6</v>
      </c>
      <c r="AL22" s="24">
        <f t="shared" si="19"/>
        <v>0.9678959889410127</v>
      </c>
      <c r="AM22" s="24">
        <f t="shared" si="22"/>
        <v>3.4225033426535072</v>
      </c>
      <c r="AN22" s="24">
        <f t="shared" si="23"/>
        <v>0.97008626061230185</v>
      </c>
      <c r="AO22" s="24">
        <f t="shared" si="24"/>
        <v>3.4942906824730033</v>
      </c>
      <c r="AP22" s="24">
        <f t="shared" si="20"/>
        <v>3.2238040870214846</v>
      </c>
      <c r="AQ22" s="24"/>
      <c r="AR22" s="24">
        <f t="shared" si="25"/>
        <v>0.27048659545151876</v>
      </c>
      <c r="AS22" s="30">
        <f t="shared" si="21"/>
        <v>3.2238040870214846</v>
      </c>
      <c r="AX22" s="14">
        <v>18.5</v>
      </c>
      <c r="AY22" s="15">
        <v>-0.95203000000000004</v>
      </c>
      <c r="AZ22" s="15">
        <f t="shared" si="18"/>
        <v>7.4947757018170039E-2</v>
      </c>
      <c r="BA22" s="15">
        <f t="shared" si="26"/>
        <v>2.1028521250226709E-2</v>
      </c>
    </row>
    <row r="23" spans="1:53" ht="15" customHeight="1" x14ac:dyDescent="0.3">
      <c r="A23" s="22"/>
      <c r="B23" s="13"/>
      <c r="F23" s="21"/>
      <c r="G23" s="21"/>
      <c r="H23" s="21"/>
      <c r="I23" s="21"/>
      <c r="J23" s="21"/>
      <c r="P23" s="58">
        <v>12</v>
      </c>
      <c r="Q23" s="15">
        <f t="shared" si="27"/>
        <v>1.2608033658858352E-6</v>
      </c>
      <c r="R23" s="15">
        <f t="shared" si="28"/>
        <v>6.4259120550653799E-6</v>
      </c>
      <c r="AB23" s="32">
        <v>20</v>
      </c>
      <c r="AC23" s="15">
        <f t="shared" si="29"/>
        <v>-0.69130000000000003</v>
      </c>
      <c r="AD23" s="15">
        <f t="shared" si="30"/>
        <v>-0.70460691994271141</v>
      </c>
      <c r="AE23" s="15">
        <f t="shared" ref="AE23:AE29" si="32">EXP(-EXP(-AD23))</f>
        <v>0.13225130938179194</v>
      </c>
      <c r="AF23" s="15">
        <f t="shared" si="31"/>
        <v>0.73320690335842553</v>
      </c>
      <c r="AG23" s="15">
        <f>(AF23-AF22)/5</f>
        <v>0.14393020417093208</v>
      </c>
      <c r="AJ23" s="19" t="s">
        <v>6</v>
      </c>
      <c r="AK23" s="19">
        <v>7</v>
      </c>
      <c r="AL23" s="24">
        <f t="shared" si="19"/>
        <v>0.99774218875143461</v>
      </c>
      <c r="AM23" s="24">
        <f t="shared" si="22"/>
        <v>6.0922294399695751</v>
      </c>
      <c r="AN23" s="20" t="e">
        <f t="shared" si="23"/>
        <v>#DIV/0!</v>
      </c>
      <c r="AO23" s="24" t="e">
        <f t="shared" si="24"/>
        <v>#DIV/0!</v>
      </c>
      <c r="AP23" s="24" t="e">
        <f t="shared" si="20"/>
        <v>#DIV/0!</v>
      </c>
      <c r="AQ23" s="20"/>
      <c r="AR23" s="24" t="e">
        <f t="shared" si="25"/>
        <v>#DIV/0!</v>
      </c>
      <c r="AS23" s="30" t="e">
        <f t="shared" si="21"/>
        <v>#DIV/0!</v>
      </c>
      <c r="AX23" s="14">
        <v>19</v>
      </c>
      <c r="AY23" s="15">
        <v>-0.85926999999999998</v>
      </c>
      <c r="AZ23" s="15">
        <f t="shared" si="18"/>
        <v>9.4284712703943355E-2</v>
      </c>
      <c r="BA23" s="15">
        <f t="shared" si="26"/>
        <v>2.9467546176652055E-2</v>
      </c>
    </row>
    <row r="24" spans="1:53" ht="15" customHeight="1" thickBot="1" x14ac:dyDescent="0.35">
      <c r="A24" s="22"/>
      <c r="B24" s="13"/>
      <c r="F24" s="21"/>
      <c r="G24" s="21"/>
      <c r="H24" s="21"/>
      <c r="I24" s="21"/>
      <c r="J24" s="21"/>
      <c r="P24" s="58">
        <v>12.5</v>
      </c>
      <c r="Q24" s="15">
        <f t="shared" si="27"/>
        <v>1.2869536846870713E-5</v>
      </c>
      <c r="R24" s="15">
        <f t="shared" si="28"/>
        <v>4.5524948955602832E-5</v>
      </c>
      <c r="AB24" s="32">
        <v>25</v>
      </c>
      <c r="AC24" s="15">
        <f t="shared" si="29"/>
        <v>2.5640000000000027E-2</v>
      </c>
      <c r="AD24" s="15">
        <f t="shared" si="30"/>
        <v>1.7414014676263363E-2</v>
      </c>
      <c r="AE24" s="15">
        <f t="shared" si="32"/>
        <v>0.3742853767976474</v>
      </c>
      <c r="AF24" s="15">
        <f t="shared" si="31"/>
        <v>2.0750541025034814</v>
      </c>
      <c r="AG24" s="15">
        <f t="shared" ref="AG24:AG29" si="33">(AF24-AF23)/5</f>
        <v>0.26836943982901118</v>
      </c>
      <c r="AJ24" s="33" t="s">
        <v>36</v>
      </c>
      <c r="AK24" s="34">
        <v>8</v>
      </c>
      <c r="AL24" s="34">
        <f t="shared" si="19"/>
        <v>0</v>
      </c>
      <c r="AM24" s="35">
        <v>999999999</v>
      </c>
      <c r="AN24" s="27"/>
      <c r="AO24" s="27"/>
      <c r="AP24" s="27"/>
      <c r="AQ24" s="27"/>
      <c r="AR24" s="27"/>
      <c r="AS24" s="26"/>
      <c r="AX24" s="14">
        <v>19.5</v>
      </c>
      <c r="AY24" s="15">
        <v>-0.775285</v>
      </c>
      <c r="AZ24" s="15">
        <f t="shared" si="18"/>
        <v>0.1140394504239105</v>
      </c>
      <c r="BA24" s="15">
        <f t="shared" si="26"/>
        <v>3.9812557661160992E-2</v>
      </c>
    </row>
    <row r="25" spans="1:53" ht="15" customHeight="1" x14ac:dyDescent="0.3">
      <c r="A25" s="22"/>
      <c r="B25" s="13"/>
      <c r="F25" s="21"/>
      <c r="G25" s="21"/>
      <c r="H25" s="21"/>
      <c r="I25" s="21"/>
      <c r="J25" s="21"/>
      <c r="P25" s="58">
        <v>13</v>
      </c>
      <c r="Q25" s="15">
        <f t="shared" si="27"/>
        <v>9.2310701277091494E-5</v>
      </c>
      <c r="R25" s="15">
        <f t="shared" si="28"/>
        <v>2.0978329469955857E-4</v>
      </c>
      <c r="AB25" s="32">
        <v>30</v>
      </c>
      <c r="AC25" s="15">
        <f t="shared" si="29"/>
        <v>0.7</v>
      </c>
      <c r="AD25" s="15">
        <f t="shared" si="30"/>
        <v>0.69655318597323612</v>
      </c>
      <c r="AE25" s="15">
        <f t="shared" si="32"/>
        <v>0.60756270303478033</v>
      </c>
      <c r="AF25" s="15">
        <f t="shared" si="31"/>
        <v>3.3683535548385062</v>
      </c>
      <c r="AG25" s="15">
        <f t="shared" si="33"/>
        <v>0.25865989046700494</v>
      </c>
      <c r="AP25" s="28"/>
      <c r="AQ25" s="28">
        <f>AVERAGE(AQ17:AQ19)</f>
        <v>0.95847700933454127</v>
      </c>
      <c r="AX25" s="14">
        <v>20</v>
      </c>
      <c r="AY25" s="15">
        <v>-0.69130000000000003</v>
      </c>
      <c r="AZ25" s="15">
        <f t="shared" si="18"/>
        <v>0.13583572213470577</v>
      </c>
      <c r="BA25" s="15">
        <f t="shared" si="26"/>
        <v>5.211432162019846E-2</v>
      </c>
    </row>
    <row r="26" spans="1:53" ht="15" customHeight="1" x14ac:dyDescent="0.3">
      <c r="A26" s="22"/>
      <c r="B26" s="13"/>
      <c r="F26" s="13"/>
      <c r="G26" s="13"/>
      <c r="H26" s="13"/>
      <c r="I26" s="13"/>
      <c r="J26" s="13"/>
      <c r="P26" s="58">
        <v>13.5</v>
      </c>
      <c r="Q26" s="15">
        <f t="shared" si="27"/>
        <v>4.3243612624598786E-4</v>
      </c>
      <c r="R26" s="15">
        <f t="shared" si="28"/>
        <v>7.6936309936552678E-4</v>
      </c>
      <c r="AB26" s="32">
        <v>35</v>
      </c>
      <c r="AC26" s="15">
        <f t="shared" si="29"/>
        <v>1.47872</v>
      </c>
      <c r="AD26" s="15">
        <f t="shared" si="30"/>
        <v>1.4807919538010712</v>
      </c>
      <c r="AE26" s="15">
        <f t="shared" si="32"/>
        <v>0.79655628938027812</v>
      </c>
      <c r="AF26" s="15">
        <f t="shared" si="31"/>
        <v>4.4161420632981727</v>
      </c>
      <c r="AG26" s="15">
        <f t="shared" si="33"/>
        <v>0.2095577016919333</v>
      </c>
      <c r="AS26" s="38"/>
      <c r="AX26" s="14">
        <v>20.5</v>
      </c>
      <c r="AY26" s="15">
        <v>-0.61227500000000001</v>
      </c>
      <c r="AZ26" s="15">
        <f t="shared" si="18"/>
        <v>0.15808488450458288</v>
      </c>
      <c r="BA26" s="15">
        <f t="shared" si="26"/>
        <v>6.6372744598427277E-2</v>
      </c>
    </row>
    <row r="27" spans="1:53" ht="15" customHeight="1" thickBot="1" x14ac:dyDescent="0.35">
      <c r="F27" s="13"/>
      <c r="G27" s="13"/>
      <c r="H27" s="13"/>
      <c r="I27" s="13"/>
      <c r="J27" s="13"/>
      <c r="P27" s="58">
        <v>14</v>
      </c>
      <c r="Q27" s="15">
        <f t="shared" si="27"/>
        <v>1.631036900008145E-3</v>
      </c>
      <c r="R27" s="15">
        <f t="shared" si="28"/>
        <v>2.3299147752938484E-3</v>
      </c>
      <c r="AB27" s="32">
        <v>40</v>
      </c>
      <c r="AC27" s="15">
        <f t="shared" si="29"/>
        <v>2.6260200000000005</v>
      </c>
      <c r="AD27" s="15">
        <f t="shared" si="30"/>
        <v>2.6362228382381927</v>
      </c>
      <c r="AE27" s="15">
        <f t="shared" si="32"/>
        <v>0.9308740250401083</v>
      </c>
      <c r="AF27" s="15">
        <f t="shared" si="31"/>
        <v>5.160805322131802</v>
      </c>
      <c r="AG27" s="15">
        <f t="shared" si="33"/>
        <v>0.14893265176672585</v>
      </c>
      <c r="AJ27" s="38" t="s">
        <v>88</v>
      </c>
      <c r="AK27" s="38"/>
      <c r="AL27" s="38"/>
      <c r="AM27" s="38"/>
      <c r="AN27" s="38"/>
      <c r="AT27" s="18"/>
      <c r="AX27" s="14">
        <v>21</v>
      </c>
      <c r="AY27" s="15">
        <v>-0.53325</v>
      </c>
      <c r="AZ27" s="15">
        <f t="shared" si="18"/>
        <v>0.18187005674477622</v>
      </c>
      <c r="BA27" s="15">
        <f t="shared" si="26"/>
        <v>8.2487349991762063E-2</v>
      </c>
    </row>
    <row r="28" spans="1:53" ht="15" customHeight="1" x14ac:dyDescent="0.3">
      <c r="G28" s="15"/>
      <c r="P28" s="58">
        <v>14.5</v>
      </c>
      <c r="Q28" s="15">
        <f t="shared" si="27"/>
        <v>5.0922656768336849E-3</v>
      </c>
      <c r="R28" s="15">
        <f t="shared" si="28"/>
        <v>5.9624228018784857E-3</v>
      </c>
      <c r="AB28" s="32">
        <v>45</v>
      </c>
      <c r="AC28" s="15">
        <f t="shared" si="29"/>
        <v>4.8097000000000021</v>
      </c>
      <c r="AD28" s="15">
        <f t="shared" si="30"/>
        <v>4.8353785200368975</v>
      </c>
      <c r="AE28" s="15">
        <f t="shared" si="32"/>
        <v>0.99208778674167086</v>
      </c>
      <c r="AF28" s="15">
        <f t="shared" si="31"/>
        <v>5.5001770294511889</v>
      </c>
      <c r="AG28" s="15">
        <f t="shared" si="33"/>
        <v>6.7874341463877386E-2</v>
      </c>
      <c r="AJ28" s="106" t="s">
        <v>89</v>
      </c>
      <c r="AK28" s="106"/>
      <c r="AL28" s="106"/>
      <c r="AM28" s="106" t="s">
        <v>26</v>
      </c>
      <c r="AN28" s="106"/>
      <c r="AO28" s="37"/>
      <c r="AP28" s="77"/>
      <c r="AQ28" s="77"/>
      <c r="AR28" s="77"/>
      <c r="AT28" s="30"/>
      <c r="AX28" s="14">
        <v>21.5</v>
      </c>
      <c r="AY28" s="15">
        <v>-0.45924500000000001</v>
      </c>
      <c r="AZ28" s="15">
        <f t="shared" si="18"/>
        <v>0.20538305950886043</v>
      </c>
      <c r="BA28" s="15">
        <f t="shared" si="26"/>
        <v>0.10029567399642535</v>
      </c>
    </row>
    <row r="29" spans="1:53" ht="15" customHeight="1" thickBot="1" x14ac:dyDescent="0.35">
      <c r="G29" s="15"/>
      <c r="P29" s="58">
        <v>15</v>
      </c>
      <c r="Q29" s="15">
        <f t="shared" si="27"/>
        <v>1.3555882503765116E-2</v>
      </c>
      <c r="R29" s="15">
        <f t="shared" si="28"/>
        <v>1.2408466358937775E-2</v>
      </c>
      <c r="AB29" s="32">
        <v>50</v>
      </c>
      <c r="AC29" s="15">
        <f t="shared" si="29"/>
        <v>13.81551005793531</v>
      </c>
      <c r="AD29" s="15">
        <f t="shared" si="30"/>
        <v>13.905012513162422</v>
      </c>
      <c r="AE29" s="15">
        <f t="shared" si="32"/>
        <v>0.99999908561394069</v>
      </c>
      <c r="AF29" s="15">
        <f t="shared" si="31"/>
        <v>5.5440376080329434</v>
      </c>
      <c r="AG29" s="15">
        <f t="shared" si="33"/>
        <v>8.7721157163509027E-3</v>
      </c>
      <c r="AJ29" s="42"/>
      <c r="AK29" s="42" t="s">
        <v>39</v>
      </c>
      <c r="AL29" s="42"/>
      <c r="AM29" s="42"/>
      <c r="AN29" s="42" t="s">
        <v>39</v>
      </c>
      <c r="AO29" s="77"/>
      <c r="AP29" s="77"/>
      <c r="AQ29" s="77"/>
      <c r="AR29" s="18"/>
      <c r="AT29" s="30"/>
      <c r="AU29" s="91" t="s">
        <v>91</v>
      </c>
      <c r="AV29" s="92">
        <f>MATCH(Introduction!$E$13,AU30:AU32,0)</f>
        <v>3</v>
      </c>
      <c r="AX29" s="14">
        <v>22</v>
      </c>
      <c r="AY29" s="15">
        <v>-0.38524000000000003</v>
      </c>
      <c r="AZ29" s="15">
        <f t="shared" si="18"/>
        <v>0.22993305648018619</v>
      </c>
      <c r="BA29" s="15">
        <f t="shared" si="26"/>
        <v>0.11956991366115642</v>
      </c>
    </row>
    <row r="30" spans="1:53" ht="15" customHeight="1" x14ac:dyDescent="0.3">
      <c r="P30" s="58">
        <v>15.5</v>
      </c>
      <c r="Q30" s="15">
        <f t="shared" si="27"/>
        <v>2.9909198394709235E-2</v>
      </c>
      <c r="R30" s="15">
        <f t="shared" si="28"/>
        <v>2.2954244446410171E-2</v>
      </c>
      <c r="AJ30" s="78">
        <v>15</v>
      </c>
      <c r="AK30" s="15">
        <f t="shared" ref="AK30:AK38" si="34">VLOOKUP($AJ30,$AX$5:$BB$92,3)</f>
        <v>2.7701724985223402E-3</v>
      </c>
      <c r="AL30" s="15"/>
      <c r="AM30" s="79" t="s">
        <v>12</v>
      </c>
      <c r="AN30" s="15">
        <f t="shared" ref="AN30:AN38" si="35">VLOOKUP($AJ30,$AX$5:$BB$92,4)</f>
        <v>2.9322833784133513E-4</v>
      </c>
      <c r="AO30" s="77"/>
      <c r="AP30" s="77"/>
      <c r="AQ30" s="77"/>
      <c r="AR30" s="80"/>
      <c r="AT30" s="30"/>
      <c r="AU30" s="94">
        <v>0</v>
      </c>
      <c r="AV30" s="93"/>
      <c r="AX30" s="14">
        <v>22.5</v>
      </c>
      <c r="AY30" s="15">
        <v>-0.31473499999999999</v>
      </c>
      <c r="AZ30" s="15">
        <f t="shared" si="18"/>
        <v>0.25413332697026197</v>
      </c>
      <c r="BA30" s="15">
        <f t="shared" si="26"/>
        <v>0.14011135678927106</v>
      </c>
    </row>
    <row r="31" spans="1:53" ht="15" customHeight="1" thickBot="1" x14ac:dyDescent="0.35">
      <c r="P31" s="58">
        <v>16</v>
      </c>
      <c r="Q31" s="15">
        <f t="shared" si="27"/>
        <v>5.9464371396585461E-2</v>
      </c>
      <c r="R31" s="15">
        <f t="shared" si="28"/>
        <v>3.509564612208927E-2</v>
      </c>
      <c r="AB31" s="16" t="s">
        <v>83</v>
      </c>
      <c r="AC31" s="16"/>
      <c r="AD31" s="16"/>
      <c r="AE31" s="16"/>
      <c r="AF31" s="16"/>
      <c r="AG31" s="16"/>
      <c r="AH31" s="16"/>
      <c r="AI31" s="16"/>
      <c r="AJ31" s="78">
        <v>20</v>
      </c>
      <c r="AK31" s="15">
        <f t="shared" si="34"/>
        <v>0.13583572213470577</v>
      </c>
      <c r="AL31" s="15"/>
      <c r="AM31" s="79" t="s">
        <v>0</v>
      </c>
      <c r="AN31" s="15">
        <f t="shared" si="35"/>
        <v>5.211432162019846E-2</v>
      </c>
      <c r="AO31" s="77"/>
      <c r="AP31" s="77"/>
      <c r="AQ31" s="77"/>
      <c r="AR31" s="80"/>
      <c r="AT31" s="30"/>
      <c r="AU31" s="95">
        <v>5</v>
      </c>
      <c r="AV31" s="93"/>
      <c r="AX31" s="14">
        <v>23</v>
      </c>
      <c r="AY31" s="15">
        <v>-0.24423</v>
      </c>
      <c r="AZ31" s="15">
        <f t="shared" si="18"/>
        <v>0.27897365630982895</v>
      </c>
      <c r="BA31" s="15">
        <f t="shared" si="26"/>
        <v>0.16171299632016267</v>
      </c>
    </row>
    <row r="32" spans="1:53" ht="15" customHeight="1" thickBot="1" x14ac:dyDescent="0.35">
      <c r="P32" s="58">
        <v>16.5</v>
      </c>
      <c r="Q32" s="15">
        <f t="shared" si="27"/>
        <v>0.10010049063888778</v>
      </c>
      <c r="R32" s="15">
        <f t="shared" si="28"/>
        <v>4.9629673924630573E-2</v>
      </c>
      <c r="AB32" s="41" t="s">
        <v>35</v>
      </c>
      <c r="AC32" s="41" t="s">
        <v>17</v>
      </c>
      <c r="AD32" s="41" t="s">
        <v>82</v>
      </c>
      <c r="AE32" s="41" t="s">
        <v>46</v>
      </c>
      <c r="AF32" s="41" t="s">
        <v>10</v>
      </c>
      <c r="AG32" s="41" t="s">
        <v>29</v>
      </c>
      <c r="AH32" s="16"/>
      <c r="AJ32" s="78">
        <v>25</v>
      </c>
      <c r="AK32" s="15">
        <f t="shared" si="34"/>
        <v>0.37731084323953967</v>
      </c>
      <c r="AL32" s="15"/>
      <c r="AM32" s="79" t="s">
        <v>1</v>
      </c>
      <c r="AN32" s="15">
        <f t="shared" si="35"/>
        <v>0.25494765082100379</v>
      </c>
      <c r="AR32" s="15"/>
      <c r="AT32" s="30"/>
      <c r="AU32" s="96">
        <v>10</v>
      </c>
      <c r="AV32" s="97"/>
      <c r="AX32" s="14">
        <v>23.5</v>
      </c>
      <c r="AY32" s="15">
        <v>-0.17602999999999999</v>
      </c>
      <c r="AZ32" s="15">
        <f t="shared" si="18"/>
        <v>0.30346960179502924</v>
      </c>
      <c r="BA32" s="15">
        <f t="shared" si="26"/>
        <v>0.18417466051876563</v>
      </c>
    </row>
    <row r="33" spans="2:53" ht="15" customHeight="1" x14ac:dyDescent="0.3">
      <c r="P33" s="58">
        <v>17</v>
      </c>
      <c r="Q33" s="15">
        <f t="shared" si="27"/>
        <v>0.15872371924584661</v>
      </c>
      <c r="R33" s="15">
        <f t="shared" si="28"/>
        <v>6.2549586185583955E-2</v>
      </c>
      <c r="AB33" s="14">
        <f t="shared" ref="AB33:AB40" si="36">AK16</f>
        <v>0</v>
      </c>
      <c r="AC33" s="15">
        <f t="shared" ref="AC33:AC40" si="37">AM16</f>
        <v>-2.0961215219194353</v>
      </c>
      <c r="AD33" s="15">
        <f t="shared" ref="AD33:AD40" si="38">AC$18+AC$16*AC33</f>
        <v>-2.1193843744425593</v>
      </c>
      <c r="AE33" s="15">
        <f>EXP(-EXP(-AD33))</f>
        <v>2.4213619401331076E-4</v>
      </c>
      <c r="AF33" s="15">
        <f t="shared" ref="AF33:AF40" si="39">$AG$41*AE33</f>
        <v>1.3424133933598488E-3</v>
      </c>
      <c r="AG33" s="15" t="str">
        <f t="shared" ref="AG33:AG40" si="40">IF(E3=1,D3/AE33,"")</f>
        <v/>
      </c>
      <c r="AJ33" s="78">
        <v>30</v>
      </c>
      <c r="AK33" s="15">
        <f t="shared" si="34"/>
        <v>0.60860531780440641</v>
      </c>
      <c r="AL33" s="15"/>
      <c r="AM33" s="79" t="s">
        <v>2</v>
      </c>
      <c r="AN33" s="15">
        <f t="shared" si="35"/>
        <v>0.49569771369193766</v>
      </c>
      <c r="AR33" s="15"/>
      <c r="AT33" s="30"/>
      <c r="AX33" s="14">
        <v>24</v>
      </c>
      <c r="AY33" s="15">
        <v>-0.10783</v>
      </c>
      <c r="AZ33" s="15">
        <f t="shared" si="18"/>
        <v>0.32828984948459988</v>
      </c>
      <c r="BA33" s="15">
        <f t="shared" si="26"/>
        <v>0.20730100959664136</v>
      </c>
    </row>
    <row r="34" spans="2:53" ht="15" customHeight="1" x14ac:dyDescent="0.3">
      <c r="B34" s="13"/>
      <c r="C34" s="13"/>
      <c r="D34" s="13"/>
      <c r="E34" s="13"/>
      <c r="F34" s="13"/>
      <c r="P34" s="58">
        <v>17.5</v>
      </c>
      <c r="Q34" s="15">
        <f t="shared" si="27"/>
        <v>0.2251996630100557</v>
      </c>
      <c r="R34" s="15">
        <f t="shared" si="28"/>
        <v>7.4988129219428212E-2</v>
      </c>
      <c r="AB34" s="14">
        <f t="shared" si="36"/>
        <v>1</v>
      </c>
      <c r="AC34" s="15">
        <f t="shared" si="37"/>
        <v>-1.0832669762582403</v>
      </c>
      <c r="AD34" s="15">
        <f t="shared" si="38"/>
        <v>-1.0993517556859367</v>
      </c>
      <c r="AE34" s="15">
        <f t="shared" ref="AE34:AE40" si="41">EXP(-EXP(-AD34))</f>
        <v>4.967670234528844E-2</v>
      </c>
      <c r="AF34" s="15">
        <f t="shared" si="39"/>
        <v>0.27540975787618061</v>
      </c>
      <c r="AG34" s="15">
        <f t="shared" si="40"/>
        <v>5.7330697601551179</v>
      </c>
      <c r="AJ34" s="78">
        <v>35</v>
      </c>
      <c r="AK34" s="15">
        <f t="shared" si="34"/>
        <v>0.79618058667567304</v>
      </c>
      <c r="AL34" s="15"/>
      <c r="AM34" s="79" t="s">
        <v>3</v>
      </c>
      <c r="AN34" s="15">
        <f t="shared" si="35"/>
        <v>0.70667705316927032</v>
      </c>
      <c r="AR34" s="15"/>
      <c r="AT34" s="30"/>
      <c r="AX34" s="14">
        <v>24.5</v>
      </c>
      <c r="AY34" s="15">
        <v>-4.1095E-2</v>
      </c>
      <c r="AZ34" s="15">
        <f t="shared" si="18"/>
        <v>0.35276573372478942</v>
      </c>
      <c r="BA34" s="15">
        <f t="shared" si="26"/>
        <v>0.23093758060071812</v>
      </c>
    </row>
    <row r="35" spans="2:53" ht="15" customHeight="1" x14ac:dyDescent="0.3">
      <c r="B35" s="13"/>
      <c r="C35" s="81"/>
      <c r="D35" s="82"/>
      <c r="E35" s="13"/>
      <c r="F35" s="13"/>
      <c r="P35" s="58">
        <v>18</v>
      </c>
      <c r="Q35" s="15">
        <f t="shared" si="27"/>
        <v>0.30869997768470303</v>
      </c>
      <c r="R35" s="15">
        <f t="shared" si="28"/>
        <v>8.7097672694920011E-2</v>
      </c>
      <c r="AB35" s="14">
        <f t="shared" si="36"/>
        <v>2</v>
      </c>
      <c r="AC35" s="15">
        <f t="shared" si="37"/>
        <v>-0.31239691342690196</v>
      </c>
      <c r="AD35" s="15">
        <f t="shared" si="38"/>
        <v>-0.3230185573216795</v>
      </c>
      <c r="AE35" s="15">
        <f t="shared" si="41"/>
        <v>0.25125397879633932</v>
      </c>
      <c r="AF35" s="15">
        <f t="shared" si="39"/>
        <v>1.3929627813205652</v>
      </c>
      <c r="AG35" s="15">
        <f t="shared" si="40"/>
        <v>5.428769751366314</v>
      </c>
      <c r="AJ35" s="78">
        <v>40</v>
      </c>
      <c r="AK35" s="15">
        <f t="shared" si="34"/>
        <v>0.9301904711169463</v>
      </c>
      <c r="AL35" s="15"/>
      <c r="AM35" s="79" t="s">
        <v>4</v>
      </c>
      <c r="AN35" s="15">
        <f t="shared" si="35"/>
        <v>0.8681298246576088</v>
      </c>
      <c r="AR35" s="15"/>
      <c r="AT35" s="30"/>
      <c r="AX35" s="14">
        <v>25</v>
      </c>
      <c r="AY35" s="15">
        <v>2.564E-2</v>
      </c>
      <c r="AZ35" s="15">
        <f t="shared" si="18"/>
        <v>0.37731084323953967</v>
      </c>
      <c r="BA35" s="15">
        <f t="shared" si="26"/>
        <v>0.25494765082100379</v>
      </c>
    </row>
    <row r="36" spans="2:53" ht="15" customHeight="1" x14ac:dyDescent="0.3">
      <c r="B36" s="13"/>
      <c r="C36" s="81"/>
      <c r="D36" s="82"/>
      <c r="E36" s="13"/>
      <c r="F36" s="13"/>
      <c r="P36" s="58">
        <v>18.5</v>
      </c>
      <c r="Q36" s="15">
        <f t="shared" si="27"/>
        <v>0.39939500839989572</v>
      </c>
      <c r="R36" s="15">
        <f t="shared" si="28"/>
        <v>9.8150198542468481E-2</v>
      </c>
      <c r="AB36" s="14">
        <f t="shared" si="36"/>
        <v>3</v>
      </c>
      <c r="AC36" s="15">
        <f t="shared" si="37"/>
        <v>0.35412250953269508</v>
      </c>
      <c r="AD36" s="15">
        <f t="shared" si="38"/>
        <v>0.34822447097495324</v>
      </c>
      <c r="AE36" s="15">
        <f t="shared" si="41"/>
        <v>0.49364413528801648</v>
      </c>
      <c r="AF36" s="15">
        <f t="shared" si="39"/>
        <v>2.736784153498943</v>
      </c>
      <c r="AG36" s="15">
        <f t="shared" si="40"/>
        <v>5.3692524847956857</v>
      </c>
      <c r="AJ36" s="78">
        <v>45</v>
      </c>
      <c r="AK36" s="15">
        <f t="shared" si="34"/>
        <v>0.99188281925836119</v>
      </c>
      <c r="AL36" s="15"/>
      <c r="AM36" s="79" t="s">
        <v>5</v>
      </c>
      <c r="AN36" s="15">
        <f t="shared" si="35"/>
        <v>0.9678959889410127</v>
      </c>
      <c r="AR36" s="15"/>
      <c r="AT36" s="36"/>
      <c r="AX36" s="14">
        <v>25.5</v>
      </c>
      <c r="AY36" s="15">
        <v>9.2085E-2</v>
      </c>
      <c r="AZ36" s="15">
        <f t="shared" si="18"/>
        <v>0.40170888317738856</v>
      </c>
      <c r="BA36" s="15">
        <f t="shared" si="26"/>
        <v>0.27920260680988579</v>
      </c>
    </row>
    <row r="37" spans="2:53" ht="15" customHeight="1" x14ac:dyDescent="0.3">
      <c r="B37" s="13"/>
      <c r="C37" s="81"/>
      <c r="D37" s="82"/>
      <c r="E37" s="13"/>
      <c r="F37" s="13"/>
      <c r="P37" s="58">
        <v>19</v>
      </c>
      <c r="Q37" s="15">
        <f t="shared" si="27"/>
        <v>0.50500037476963999</v>
      </c>
      <c r="R37" s="15">
        <f t="shared" si="28"/>
        <v>0.10695831311242665</v>
      </c>
      <c r="AB37" s="14">
        <f t="shared" si="36"/>
        <v>4</v>
      </c>
      <c r="AC37" s="15">
        <f t="shared" si="37"/>
        <v>1.0579075746568081</v>
      </c>
      <c r="AD37" s="15">
        <f t="shared" si="38"/>
        <v>1.056997242046156</v>
      </c>
      <c r="AE37" s="15">
        <f t="shared" si="41"/>
        <v>0.70645364106442288</v>
      </c>
      <c r="AF37" s="15">
        <f t="shared" si="39"/>
        <v>3.9166091356857602</v>
      </c>
      <c r="AG37" s="15">
        <f t="shared" si="40"/>
        <v>5.6373125828886881</v>
      </c>
      <c r="AJ37" s="78">
        <v>50</v>
      </c>
      <c r="AK37" s="15">
        <f t="shared" si="34"/>
        <v>0.99999899999999997</v>
      </c>
      <c r="AL37" s="15"/>
      <c r="AM37" s="79" t="s">
        <v>6</v>
      </c>
      <c r="AN37" s="15">
        <f t="shared" si="35"/>
        <v>0.99774218875143461</v>
      </c>
      <c r="AR37" s="15"/>
      <c r="AX37" s="14">
        <v>26</v>
      </c>
      <c r="AY37" s="15">
        <v>0.15853</v>
      </c>
      <c r="AZ37" s="15">
        <f t="shared" si="18"/>
        <v>0.42596531275486749</v>
      </c>
      <c r="BA37" s="15">
        <f t="shared" si="26"/>
        <v>0.30358856954403063</v>
      </c>
    </row>
    <row r="38" spans="2:53" ht="15" customHeight="1" x14ac:dyDescent="0.3">
      <c r="B38" s="13"/>
      <c r="C38" s="81"/>
      <c r="D38" s="82"/>
      <c r="E38" s="13"/>
      <c r="F38" s="13"/>
      <c r="P38" s="58">
        <v>19.5</v>
      </c>
      <c r="Q38" s="15">
        <f t="shared" si="27"/>
        <v>0.61331163462474902</v>
      </c>
      <c r="R38" s="15">
        <f t="shared" si="28"/>
        <v>0.11410326429439277</v>
      </c>
      <c r="AB38" s="14">
        <f t="shared" si="36"/>
        <v>5</v>
      </c>
      <c r="AC38" s="15">
        <f t="shared" si="37"/>
        <v>1.9560634644574093</v>
      </c>
      <c r="AD38" s="15">
        <f t="shared" si="38"/>
        <v>1.9615183386335509</v>
      </c>
      <c r="AE38" s="15">
        <f t="shared" si="41"/>
        <v>0.86879792998375138</v>
      </c>
      <c r="AF38" s="15">
        <f t="shared" si="39"/>
        <v>4.816652801891264</v>
      </c>
      <c r="AG38" s="15">
        <f t="shared" si="40"/>
        <v>5.5518088079355916</v>
      </c>
      <c r="AJ38" s="14">
        <v>55</v>
      </c>
      <c r="AK38" s="15">
        <f t="shared" si="34"/>
        <v>1</v>
      </c>
      <c r="AM38" s="60" t="s">
        <v>36</v>
      </c>
      <c r="AN38" s="15">
        <f t="shared" si="35"/>
        <v>0</v>
      </c>
      <c r="AX38" s="14">
        <v>26.5</v>
      </c>
      <c r="AY38" s="15">
        <v>0.22500000000000001</v>
      </c>
      <c r="AZ38" s="15">
        <f t="shared" si="18"/>
        <v>0.44999616487262006</v>
      </c>
      <c r="BA38" s="15">
        <f t="shared" si="26"/>
        <v>0.32802398761272317</v>
      </c>
    </row>
    <row r="39" spans="2:53" ht="15" customHeight="1" x14ac:dyDescent="0.3">
      <c r="B39" s="13"/>
      <c r="C39" s="81"/>
      <c r="D39" s="82"/>
      <c r="E39" s="13"/>
      <c r="F39" s="13"/>
      <c r="P39" s="58">
        <v>20</v>
      </c>
      <c r="Q39" s="15">
        <f t="shared" si="27"/>
        <v>0.73320690335842553</v>
      </c>
      <c r="R39" s="15">
        <f t="shared" si="28"/>
        <v>0.12131081827109919</v>
      </c>
      <c r="AB39" s="14">
        <f t="shared" si="36"/>
        <v>6</v>
      </c>
      <c r="AC39" s="15">
        <f t="shared" si="37"/>
        <v>3.4225033426535072</v>
      </c>
      <c r="AD39" s="15">
        <f t="shared" si="38"/>
        <v>3.4383508370541747</v>
      </c>
      <c r="AE39" s="15">
        <f t="shared" si="41"/>
        <v>0.96839268383507326</v>
      </c>
      <c r="AF39" s="15">
        <f t="shared" si="39"/>
        <v>5.3688103676909575</v>
      </c>
      <c r="AG39" s="15" t="str">
        <f t="shared" si="40"/>
        <v/>
      </c>
      <c r="AX39" s="14">
        <v>27</v>
      </c>
      <c r="AY39" s="15">
        <v>0.29147000000000001</v>
      </c>
      <c r="AZ39" s="15">
        <f t="shared" ref="AZ39:AZ70" si="42">EXP(-EXP(-AY39))</f>
        <v>0.47370788283757637</v>
      </c>
      <c r="BA39" s="15">
        <f t="shared" si="26"/>
        <v>0.35244338419878068</v>
      </c>
    </row>
    <row r="40" spans="2:53" ht="15" customHeight="1" x14ac:dyDescent="0.3">
      <c r="B40" s="13"/>
      <c r="C40" s="81"/>
      <c r="D40" s="82"/>
      <c r="E40" s="13"/>
      <c r="F40" s="13"/>
      <c r="P40" s="58">
        <v>20.5</v>
      </c>
      <c r="Q40" s="15">
        <f t="shared" si="27"/>
        <v>0.8559332711669474</v>
      </c>
      <c r="R40" s="15">
        <f t="shared" si="28"/>
        <v>0.12711734143136499</v>
      </c>
      <c r="AB40" s="14">
        <f t="shared" si="36"/>
        <v>7</v>
      </c>
      <c r="AC40" s="15">
        <f t="shared" si="37"/>
        <v>6.0922294399695751</v>
      </c>
      <c r="AD40" s="15">
        <f t="shared" si="38"/>
        <v>6.1269972118704974</v>
      </c>
      <c r="AE40" s="15">
        <f t="shared" si="41"/>
        <v>0.99781925469282051</v>
      </c>
      <c r="AF40" s="15">
        <f t="shared" si="39"/>
        <v>5.5319525323766756</v>
      </c>
      <c r="AG40" s="15" t="str">
        <f t="shared" si="40"/>
        <v/>
      </c>
      <c r="AS40" s="77"/>
      <c r="AX40" s="14">
        <v>27.5</v>
      </c>
      <c r="AY40" s="15">
        <v>0.35831000000000002</v>
      </c>
      <c r="AZ40" s="15">
        <f t="shared" si="42"/>
        <v>0.49715352560929127</v>
      </c>
      <c r="BA40" s="15">
        <f t="shared" si="26"/>
        <v>0.37678313544860165</v>
      </c>
    </row>
    <row r="41" spans="2:53" ht="15" customHeight="1" x14ac:dyDescent="0.3">
      <c r="B41" s="13"/>
      <c r="C41" s="81"/>
      <c r="D41" s="82"/>
      <c r="E41" s="13"/>
      <c r="F41" s="13"/>
      <c r="P41" s="58">
        <v>21</v>
      </c>
      <c r="Q41" s="15">
        <f t="shared" si="27"/>
        <v>0.98744158622115552</v>
      </c>
      <c r="R41" s="15">
        <f t="shared" si="28"/>
        <v>0.13088579365662523</v>
      </c>
      <c r="AB41" s="16"/>
      <c r="AC41" s="31"/>
      <c r="AD41" s="31"/>
      <c r="AE41" s="31"/>
      <c r="AF41" s="31"/>
      <c r="AG41" s="31">
        <f>AVERAGE(AG33:AG40)</f>
        <v>5.5440426774282798</v>
      </c>
      <c r="AH41" s="16" t="s">
        <v>34</v>
      </c>
      <c r="AS41" s="77"/>
      <c r="AX41" s="14">
        <v>28</v>
      </c>
      <c r="AY41" s="15">
        <v>0.42514999999999997</v>
      </c>
      <c r="AZ41" s="15">
        <f t="shared" si="42"/>
        <v>0.52013248187634886</v>
      </c>
      <c r="BA41" s="15">
        <f t="shared" si="26"/>
        <v>0.40099208665887903</v>
      </c>
    </row>
    <row r="42" spans="2:53" ht="15" customHeight="1" x14ac:dyDescent="0.3">
      <c r="B42" s="13"/>
      <c r="C42" s="13"/>
      <c r="D42" s="13"/>
      <c r="E42" s="13"/>
      <c r="F42" s="13"/>
      <c r="P42" s="58">
        <v>21.5</v>
      </c>
      <c r="Q42" s="15">
        <f t="shared" si="27"/>
        <v>1.1177048584801978</v>
      </c>
      <c r="R42" s="15">
        <f t="shared" si="28"/>
        <v>0.13325074945109477</v>
      </c>
      <c r="AB42" s="16"/>
      <c r="AC42" s="16"/>
      <c r="AD42" s="16"/>
      <c r="AE42" s="16"/>
      <c r="AF42" s="16"/>
      <c r="AG42" s="16"/>
      <c r="AH42" s="16"/>
      <c r="AI42" s="16"/>
      <c r="AS42" s="77"/>
      <c r="AX42" s="14">
        <v>28.5</v>
      </c>
      <c r="AY42" s="15">
        <v>0.49307999999999996</v>
      </c>
      <c r="AZ42" s="15">
        <f t="shared" si="42"/>
        <v>0.54294763089734965</v>
      </c>
      <c r="BA42" s="15">
        <f t="shared" si="26"/>
        <v>0.4250239293923212</v>
      </c>
    </row>
    <row r="43" spans="2:53" ht="15" customHeight="1" x14ac:dyDescent="0.3">
      <c r="B43" s="13"/>
      <c r="C43" s="13"/>
      <c r="D43" s="13"/>
      <c r="E43" s="13"/>
      <c r="F43" s="13"/>
      <c r="P43" s="58">
        <v>22</v>
      </c>
      <c r="Q43" s="15">
        <f t="shared" si="27"/>
        <v>1.2539430851233451</v>
      </c>
      <c r="R43" s="15">
        <f t="shared" si="28"/>
        <v>0.13536469897494319</v>
      </c>
      <c r="AS43" s="77"/>
      <c r="AX43" s="14">
        <v>29</v>
      </c>
      <c r="AY43" s="15">
        <v>0.56101000000000001</v>
      </c>
      <c r="AZ43" s="15">
        <f t="shared" si="42"/>
        <v>0.56516789429087777</v>
      </c>
      <c r="BA43" s="15">
        <f t="shared" si="26"/>
        <v>0.44884173308775105</v>
      </c>
    </row>
    <row r="44" spans="2:53" ht="15" customHeight="1" x14ac:dyDescent="0.3">
      <c r="P44" s="58">
        <v>22.5</v>
      </c>
      <c r="Q44" s="15">
        <f t="shared" si="27"/>
        <v>1.3884342564300842</v>
      </c>
      <c r="R44" s="15">
        <f t="shared" si="28"/>
        <v>0.13635433943324204</v>
      </c>
      <c r="AX44" s="14">
        <v>29.5</v>
      </c>
      <c r="AY44" s="15">
        <v>0.63050499999999998</v>
      </c>
      <c r="AZ44" s="15">
        <f t="shared" si="42"/>
        <v>0.58723928008108417</v>
      </c>
      <c r="BA44" s="15">
        <f t="shared" si="26"/>
        <v>0.47240931264587965</v>
      </c>
    </row>
    <row r="45" spans="2:53" ht="15" customHeight="1" x14ac:dyDescent="0.3">
      <c r="P45" s="58">
        <v>23</v>
      </c>
      <c r="Q45" s="15">
        <f t="shared" si="27"/>
        <v>1.5266517639898292</v>
      </c>
      <c r="R45" s="15">
        <f t="shared" si="28"/>
        <v>0.13733074539814694</v>
      </c>
      <c r="AX45" s="14">
        <v>30</v>
      </c>
      <c r="AY45" s="15">
        <v>0.7</v>
      </c>
      <c r="AZ45" s="15">
        <f t="shared" si="42"/>
        <v>0.60860531780440641</v>
      </c>
      <c r="BA45" s="15">
        <f t="shared" si="26"/>
        <v>0.49569771369193766</v>
      </c>
    </row>
    <row r="46" spans="2:53" ht="15" customHeight="1" x14ac:dyDescent="0.3">
      <c r="P46" s="58">
        <v>23.5</v>
      </c>
      <c r="Q46" s="15">
        <f t="shared" si="27"/>
        <v>1.6630957472263781</v>
      </c>
      <c r="R46" s="15">
        <f t="shared" si="28"/>
        <v>0.1374085905280803</v>
      </c>
      <c r="AX46" s="14">
        <v>30.5</v>
      </c>
      <c r="AY46" s="15">
        <v>0.77136000000000005</v>
      </c>
      <c r="AZ46" s="15">
        <f t="shared" si="42"/>
        <v>0.62978058468408038</v>
      </c>
      <c r="BA46" s="15">
        <f t="shared" si="26"/>
        <v>0.51866602249551563</v>
      </c>
    </row>
    <row r="47" spans="2:53" ht="15" customHeight="1" x14ac:dyDescent="0.3">
      <c r="P47" s="58">
        <v>24</v>
      </c>
      <c r="Q47" s="15">
        <f t="shared" si="27"/>
        <v>1.8014689450459898</v>
      </c>
      <c r="R47" s="15">
        <f t="shared" si="28"/>
        <v>0.13746468312227644</v>
      </c>
      <c r="AX47" s="14">
        <v>31</v>
      </c>
      <c r="AY47" s="15">
        <v>0.84272000000000002</v>
      </c>
      <c r="AZ47" s="15">
        <f t="shared" si="42"/>
        <v>0.65015930185545556</v>
      </c>
      <c r="BA47" s="15">
        <f t="shared" si="26"/>
        <v>0.54127930702587967</v>
      </c>
    </row>
    <row r="48" spans="2:53" ht="15" customHeight="1" x14ac:dyDescent="0.3">
      <c r="P48" s="58">
        <v>24.5</v>
      </c>
      <c r="Q48" s="15">
        <f t="shared" si="27"/>
        <v>1.938025113470931</v>
      </c>
      <c r="R48" s="15">
        <f t="shared" si="28"/>
        <v>0.13679257872874584</v>
      </c>
      <c r="AX48" s="14">
        <v>31.5</v>
      </c>
      <c r="AY48" s="15">
        <v>0.91643000000000008</v>
      </c>
      <c r="AZ48" s="15">
        <f t="shared" si="42"/>
        <v>0.6703573861620935</v>
      </c>
      <c r="BA48" s="15">
        <f t="shared" si="26"/>
        <v>0.56350706754538271</v>
      </c>
    </row>
    <row r="49" spans="16:53" ht="15" customHeight="1" x14ac:dyDescent="0.3">
      <c r="P49" s="58">
        <v>25</v>
      </c>
      <c r="Q49" s="15">
        <f t="shared" si="27"/>
        <v>2.0750541025034814</v>
      </c>
      <c r="R49" s="15">
        <f t="shared" si="28"/>
        <v>0.13665447493152105</v>
      </c>
      <c r="AX49" s="14">
        <v>32</v>
      </c>
      <c r="AY49" s="15">
        <v>0.99014000000000002</v>
      </c>
      <c r="AZ49" s="15">
        <f t="shared" si="42"/>
        <v>0.68968198845643669</v>
      </c>
      <c r="BA49" s="15">
        <f t="shared" si="26"/>
        <v>0.58532383389079945</v>
      </c>
    </row>
    <row r="50" spans="16:53" ht="15" customHeight="1" x14ac:dyDescent="0.3">
      <c r="P50" s="58">
        <v>25.5</v>
      </c>
      <c r="Q50" s="15">
        <f t="shared" si="27"/>
        <v>2.2113340633339731</v>
      </c>
      <c r="R50" s="15">
        <f t="shared" si="28"/>
        <v>0.13591388923069547</v>
      </c>
      <c r="AX50" s="14">
        <v>32.5</v>
      </c>
      <c r="AY50" s="15">
        <v>1.067105</v>
      </c>
      <c r="AZ50" s="15">
        <f t="shared" si="42"/>
        <v>0.70892682547846753</v>
      </c>
      <c r="BA50" s="15">
        <f t="shared" si="26"/>
        <v>0.60671120416520141</v>
      </c>
    </row>
    <row r="51" spans="16:53" ht="15" customHeight="1" x14ac:dyDescent="0.3">
      <c r="P51" s="58">
        <v>26</v>
      </c>
      <c r="Q51" s="15">
        <f t="shared" si="27"/>
        <v>2.3468818809648724</v>
      </c>
      <c r="R51" s="15">
        <f t="shared" si="28"/>
        <v>0.13494098245436326</v>
      </c>
      <c r="AX51" s="14">
        <v>33</v>
      </c>
      <c r="AY51" s="15">
        <v>1.1440699999999999</v>
      </c>
      <c r="AZ51" s="15">
        <f t="shared" si="42"/>
        <v>0.72722453063414172</v>
      </c>
      <c r="BA51" s="15">
        <f t="shared" si="26"/>
        <v>0.62765447159654986</v>
      </c>
    </row>
    <row r="52" spans="16:53" ht="15" customHeight="1" x14ac:dyDescent="0.3">
      <c r="P52" s="58">
        <v>26.5</v>
      </c>
      <c r="Q52" s="15">
        <f t="shared" si="27"/>
        <v>2.4812160282426996</v>
      </c>
      <c r="R52" s="15">
        <f t="shared" si="28"/>
        <v>0.13346012392435513</v>
      </c>
      <c r="AX52" s="14">
        <v>33.5</v>
      </c>
      <c r="AY52" s="15">
        <v>1.2251699999999999</v>
      </c>
      <c r="AZ52" s="15">
        <f t="shared" si="42"/>
        <v>0.74549431857979753</v>
      </c>
      <c r="BA52" s="15">
        <f t="shared" si="26"/>
        <v>0.64813640841856179</v>
      </c>
    </row>
    <row r="53" spans="16:53" ht="15" customHeight="1" x14ac:dyDescent="0.3">
      <c r="P53" s="58">
        <v>27</v>
      </c>
      <c r="Q53" s="15">
        <f t="shared" ref="Q53:Q84" si="43">$I$7*EXP(-EXP(-($I$5+$I$6*AY39)))</f>
        <v>2.6138021288135826</v>
      </c>
      <c r="R53" s="15">
        <f t="shared" si="28"/>
        <v>0.13185532630741426</v>
      </c>
      <c r="AX53" s="14">
        <v>34</v>
      </c>
      <c r="AY53" s="15">
        <v>1.30627</v>
      </c>
      <c r="AZ53" s="15">
        <f t="shared" si="42"/>
        <v>0.76274739968650018</v>
      </c>
      <c r="BA53" s="15">
        <f t="shared" si="26"/>
        <v>0.66814271807246539</v>
      </c>
    </row>
    <row r="54" spans="16:53" ht="15" customHeight="1" x14ac:dyDescent="0.3">
      <c r="P54" s="58">
        <v>27.5</v>
      </c>
      <c r="Q54" s="15">
        <f t="shared" si="43"/>
        <v>2.7449266808575281</v>
      </c>
      <c r="R54" s="15">
        <f t="shared" si="28"/>
        <v>0.1298281928260232</v>
      </c>
      <c r="AX54" s="14">
        <v>34.5</v>
      </c>
      <c r="AY54" s="15">
        <v>1.392495</v>
      </c>
      <c r="AZ54" s="15">
        <f t="shared" si="42"/>
        <v>0.78000524391569137</v>
      </c>
      <c r="BA54" s="15">
        <f t="shared" si="26"/>
        <v>0.68765999153397683</v>
      </c>
    </row>
    <row r="55" spans="16:53" ht="15" customHeight="1" x14ac:dyDescent="0.3">
      <c r="P55" s="58">
        <v>28</v>
      </c>
      <c r="Q55" s="15">
        <f t="shared" si="43"/>
        <v>2.8734585144656291</v>
      </c>
      <c r="R55" s="15">
        <f t="shared" si="28"/>
        <v>0.12807848120356158</v>
      </c>
      <c r="AX55" s="14">
        <v>35</v>
      </c>
      <c r="AY55" s="15">
        <v>1.47872</v>
      </c>
      <c r="AZ55" s="15">
        <f t="shared" si="42"/>
        <v>0.79618058667567304</v>
      </c>
      <c r="BA55" s="15">
        <f t="shared" si="26"/>
        <v>0.70667705316927032</v>
      </c>
    </row>
    <row r="56" spans="16:53" ht="15" customHeight="1" x14ac:dyDescent="0.3">
      <c r="P56" s="58">
        <v>28.5</v>
      </c>
      <c r="Q56" s="15">
        <f t="shared" si="43"/>
        <v>3.0010836432646513</v>
      </c>
      <c r="R56" s="15">
        <f t="shared" si="28"/>
        <v>0.12596244690225178</v>
      </c>
      <c r="AX56" s="14">
        <v>35.5</v>
      </c>
      <c r="AY56" s="15">
        <v>1.5714900000000001</v>
      </c>
      <c r="AZ56" s="15">
        <f t="shared" si="42"/>
        <v>0.81242195411874019</v>
      </c>
      <c r="BA56" s="15">
        <f t="shared" si="26"/>
        <v>0.72518788508456689</v>
      </c>
    </row>
    <row r="57" spans="16:53" ht="15" customHeight="1" x14ac:dyDescent="0.3">
      <c r="P57" s="58">
        <v>29</v>
      </c>
      <c r="Q57" s="15">
        <f t="shared" si="43"/>
        <v>3.1253834082701326</v>
      </c>
      <c r="R57" s="15">
        <f t="shared" si="28"/>
        <v>0.12388128491925676</v>
      </c>
      <c r="AX57" s="14">
        <v>36</v>
      </c>
      <c r="AY57" s="15">
        <v>1.6642600000000001</v>
      </c>
      <c r="AZ57" s="15">
        <f t="shared" si="42"/>
        <v>0.82751279395132449</v>
      </c>
      <c r="BA57" s="15">
        <f t="shared" si="26"/>
        <v>0.74318762816109318</v>
      </c>
    </row>
    <row r="58" spans="16:53" ht="15" customHeight="1" x14ac:dyDescent="0.3">
      <c r="P58" s="58">
        <v>29.5</v>
      </c>
      <c r="Q58" s="15">
        <f t="shared" si="43"/>
        <v>3.2488462131031648</v>
      </c>
      <c r="R58" s="15">
        <f t="shared" si="28"/>
        <v>0.12148507328418678</v>
      </c>
      <c r="AX58" s="14">
        <v>36.5</v>
      </c>
      <c r="AY58" s="15">
        <v>1.765115</v>
      </c>
      <c r="AZ58" s="15">
        <f t="shared" si="42"/>
        <v>0.84268074879519927</v>
      </c>
      <c r="BA58" s="15">
        <f t="shared" si="26"/>
        <v>0.76067147089754195</v>
      </c>
    </row>
    <row r="59" spans="16:53" ht="15" customHeight="1" x14ac:dyDescent="0.3">
      <c r="P59" s="58">
        <v>30</v>
      </c>
      <c r="Q59" s="15">
        <f t="shared" si="43"/>
        <v>3.3683535548385062</v>
      </c>
      <c r="R59" s="15">
        <f t="shared" si="28"/>
        <v>0.11896615078829909</v>
      </c>
      <c r="AX59" s="14">
        <v>37</v>
      </c>
      <c r="AY59" s="15">
        <v>1.8659699999999999</v>
      </c>
      <c r="AZ59" s="15">
        <f t="shared" si="42"/>
        <v>0.85663270594830188</v>
      </c>
      <c r="BA59" s="15">
        <f t="shared" si="26"/>
        <v>0.77763517490379064</v>
      </c>
    </row>
    <row r="60" spans="16:53" ht="15" customHeight="1" x14ac:dyDescent="0.3">
      <c r="P60" s="58">
        <v>30.5</v>
      </c>
      <c r="Q60" s="15">
        <f t="shared" si="43"/>
        <v>3.486778514679763</v>
      </c>
      <c r="R60" s="15">
        <f t="shared" si="28"/>
        <v>0.1161876784611835</v>
      </c>
      <c r="AX60" s="14">
        <v>37.5</v>
      </c>
      <c r="AY60" s="15">
        <v>1.977455</v>
      </c>
      <c r="AZ60" s="15">
        <f t="shared" si="42"/>
        <v>0.87073197452756534</v>
      </c>
      <c r="BA60" s="15">
        <f t="shared" si="26"/>
        <v>0.79407296823083873</v>
      </c>
    </row>
    <row r="61" spans="16:53" ht="15" customHeight="1" x14ac:dyDescent="0.3">
      <c r="P61" s="58">
        <v>31</v>
      </c>
      <c r="Q61" s="15">
        <f t="shared" si="43"/>
        <v>3.6007289117608732</v>
      </c>
      <c r="R61" s="15">
        <f t="shared" si="28"/>
        <v>0.11343318923402168</v>
      </c>
      <c r="AX61" s="14">
        <v>38</v>
      </c>
      <c r="AY61" s="15">
        <v>2.08894</v>
      </c>
      <c r="AZ61" s="15">
        <f t="shared" si="42"/>
        <v>0.88354035348438364</v>
      </c>
      <c r="BA61" s="15">
        <f t="shared" si="26"/>
        <v>0.80997901682580553</v>
      </c>
    </row>
    <row r="62" spans="16:53" ht="15" customHeight="1" x14ac:dyDescent="0.3">
      <c r="P62" s="58">
        <v>31.5</v>
      </c>
      <c r="Q62" s="15">
        <f t="shared" si="43"/>
        <v>3.7136448931478063</v>
      </c>
      <c r="R62" s="15">
        <f t="shared" si="28"/>
        <v>0.11046057831552503</v>
      </c>
      <c r="AX62" s="14">
        <v>38.5</v>
      </c>
      <c r="AY62" s="15">
        <v>2.2144300000000001</v>
      </c>
      <c r="AZ62" s="15">
        <f t="shared" si="42"/>
        <v>0.89653696923966519</v>
      </c>
      <c r="BA62" s="15">
        <f t="shared" si="26"/>
        <v>0.82534694050131108</v>
      </c>
    </row>
    <row r="63" spans="16:53" ht="15" customHeight="1" x14ac:dyDescent="0.3">
      <c r="P63" s="58">
        <v>32</v>
      </c>
      <c r="Q63" s="15">
        <f t="shared" si="43"/>
        <v>3.8216500683919232</v>
      </c>
      <c r="R63" s="15">
        <f t="shared" si="28"/>
        <v>0.1077663432575604</v>
      </c>
      <c r="AX63" s="14">
        <v>39</v>
      </c>
      <c r="AY63" s="15">
        <v>2.3399200000000002</v>
      </c>
      <c r="AZ63" s="15">
        <f t="shared" si="42"/>
        <v>0.90815941850597914</v>
      </c>
      <c r="BA63" s="15">
        <f t="shared" si="26"/>
        <v>0.84016967397527831</v>
      </c>
    </row>
    <row r="64" spans="16:53" ht="15" customHeight="1" x14ac:dyDescent="0.3">
      <c r="P64" s="58">
        <v>32.5</v>
      </c>
      <c r="Q64" s="15">
        <f t="shared" si="43"/>
        <v>3.9291775796629271</v>
      </c>
      <c r="R64" s="15">
        <f t="shared" si="28"/>
        <v>0.10486442496189108</v>
      </c>
      <c r="AX64" s="14">
        <v>39.5</v>
      </c>
      <c r="AY64" s="15">
        <v>2.4829699999999999</v>
      </c>
      <c r="AZ64" s="15">
        <f t="shared" si="42"/>
        <v>0.91989579910861818</v>
      </c>
      <c r="BA64" s="15">
        <f t="shared" si="26"/>
        <v>0.85443480267589877</v>
      </c>
    </row>
    <row r="65" spans="16:53" ht="15" customHeight="1" x14ac:dyDescent="0.3">
      <c r="P65" s="58">
        <v>33</v>
      </c>
      <c r="Q65" s="15">
        <f t="shared" si="43"/>
        <v>4.0313789183157054</v>
      </c>
      <c r="R65" s="15">
        <f t="shared" si="28"/>
        <v>0.10210429690750833</v>
      </c>
      <c r="AX65" s="14">
        <v>40</v>
      </c>
      <c r="AY65" s="15">
        <v>2.62602</v>
      </c>
      <c r="AZ65" s="15">
        <f t="shared" si="42"/>
        <v>0.9301904711169463</v>
      </c>
      <c r="BA65" s="15">
        <f t="shared" si="26"/>
        <v>0.8681298246576088</v>
      </c>
    </row>
    <row r="66" spans="16:53" ht="15" customHeight="1" x14ac:dyDescent="0.3">
      <c r="P66" s="58">
        <v>33.5</v>
      </c>
      <c r="Q66" s="15">
        <f t="shared" si="43"/>
        <v>4.1333861734779438</v>
      </c>
      <c r="R66" s="15">
        <f t="shared" si="28"/>
        <v>9.9149079091239045E-2</v>
      </c>
      <c r="AX66" s="14">
        <v>40.5</v>
      </c>
      <c r="AY66" s="15">
        <v>2.7905100000000003</v>
      </c>
      <c r="AZ66" s="15">
        <f t="shared" si="42"/>
        <v>0.94045648704234741</v>
      </c>
      <c r="BA66" s="15">
        <f t="shared" si="26"/>
        <v>0.88123204552585277</v>
      </c>
    </row>
    <row r="67" spans="16:53" ht="15" customHeight="1" x14ac:dyDescent="0.3">
      <c r="P67" s="58">
        <v>34</v>
      </c>
      <c r="Q67" s="15">
        <f t="shared" si="43"/>
        <v>4.2296770764981835</v>
      </c>
      <c r="R67" s="15">
        <f t="shared" si="28"/>
        <v>9.6282456840949937E-2</v>
      </c>
      <c r="AX67" s="14">
        <v>41</v>
      </c>
      <c r="AY67" s="15">
        <v>2.9550000000000001</v>
      </c>
      <c r="AZ67" s="15">
        <f t="shared" si="42"/>
        <v>0.94925419502434549</v>
      </c>
      <c r="BA67" s="15">
        <f t="shared" si="26"/>
        <v>0.89372084222568415</v>
      </c>
    </row>
    <row r="68" spans="16:53" ht="15" customHeight="1" x14ac:dyDescent="0.3">
      <c r="P68" s="58">
        <v>34.5</v>
      </c>
      <c r="Q68" s="15">
        <f t="shared" si="43"/>
        <v>4.3259510871598437</v>
      </c>
      <c r="R68" s="15">
        <f t="shared" si="28"/>
        <v>9.323249339999462E-2</v>
      </c>
      <c r="AX68" s="14">
        <v>41.5</v>
      </c>
      <c r="AY68" s="15">
        <v>3.1418650000000001</v>
      </c>
      <c r="AZ68" s="15">
        <f t="shared" si="42"/>
        <v>0.9577177671698458</v>
      </c>
      <c r="BA68" s="15">
        <f t="shared" si="26"/>
        <v>0.90555976319806752</v>
      </c>
    </row>
    <row r="69" spans="16:53" ht="15" customHeight="1" x14ac:dyDescent="0.3">
      <c r="P69" s="58">
        <v>35</v>
      </c>
      <c r="Q69" s="15">
        <f t="shared" si="43"/>
        <v>4.4161420632981727</v>
      </c>
      <c r="R69" s="15">
        <f t="shared" si="28"/>
        <v>9.03509724138849E-2</v>
      </c>
      <c r="AX69" s="14">
        <v>42</v>
      </c>
      <c r="AY69" s="15">
        <v>3.3287300000000002</v>
      </c>
      <c r="AZ69" s="15">
        <f t="shared" si="42"/>
        <v>0.9647960074927292</v>
      </c>
      <c r="BA69" s="15">
        <f t="shared" si="26"/>
        <v>0.91671977919402114</v>
      </c>
    </row>
    <row r="70" spans="16:53" ht="15" customHeight="1" x14ac:dyDescent="0.3">
      <c r="P70" s="58">
        <v>35.5</v>
      </c>
      <c r="Q70" s="15">
        <f t="shared" si="43"/>
        <v>4.5066530319876135</v>
      </c>
      <c r="R70" s="15">
        <f t="shared" si="28"/>
        <v>8.7280999788240443E-2</v>
      </c>
      <c r="AX70" s="14">
        <v>42.5</v>
      </c>
      <c r="AY70" s="15">
        <v>3.5442850000000004</v>
      </c>
      <c r="AZ70" s="15">
        <f t="shared" si="42"/>
        <v>0.97152403443876401</v>
      </c>
      <c r="BA70" s="15">
        <f t="shared" si="26"/>
        <v>0.92716754726680262</v>
      </c>
    </row>
    <row r="71" spans="16:53" ht="15" customHeight="1" x14ac:dyDescent="0.3">
      <c r="P71" s="58">
        <v>36</v>
      </c>
      <c r="Q71" s="15">
        <f t="shared" si="43"/>
        <v>4.5907040628746536</v>
      </c>
      <c r="R71" s="15">
        <f t="shared" si="28"/>
        <v>8.4239687117253048E-2</v>
      </c>
      <c r="AX71" s="14">
        <v>43</v>
      </c>
      <c r="AY71" s="15">
        <v>3.7598400000000001</v>
      </c>
      <c r="AZ71" s="15">
        <f t="shared" ref="AZ71:AZ83" si="44">EXP(-EXP(-AY71))</f>
        <v>0.97698159434136056</v>
      </c>
      <c r="BA71" s="15">
        <f t="shared" si="26"/>
        <v>0.93687921230521143</v>
      </c>
    </row>
    <row r="72" spans="16:53" ht="15" customHeight="1" x14ac:dyDescent="0.3">
      <c r="P72" s="58">
        <v>36.5</v>
      </c>
      <c r="Q72" s="15">
        <f t="shared" si="43"/>
        <v>4.6751324062221196</v>
      </c>
      <c r="R72" s="15">
        <f t="shared" si="28"/>
        <v>8.1018341461402521E-2</v>
      </c>
      <c r="AX72" s="14">
        <v>43.5</v>
      </c>
      <c r="AY72" s="15">
        <v>4.0074149999999999</v>
      </c>
      <c r="AZ72" s="15">
        <f t="shared" si="44"/>
        <v>0.98198393453897526</v>
      </c>
      <c r="BA72" s="15">
        <f t="shared" si="26"/>
        <v>0.94582362261302577</v>
      </c>
    </row>
    <row r="73" spans="16:53" ht="15" customHeight="1" x14ac:dyDescent="0.3">
      <c r="P73" s="58">
        <v>37</v>
      </c>
      <c r="Q73" s="15">
        <f t="shared" si="43"/>
        <v>4.7527407457974586</v>
      </c>
      <c r="R73" s="15">
        <f t="shared" si="28"/>
        <v>7.7990045174462175E-2</v>
      </c>
      <c r="AX73" s="14">
        <v>44</v>
      </c>
      <c r="AY73" s="15">
        <v>4.2549900000000003</v>
      </c>
      <c r="AZ73" s="15">
        <f t="shared" si="44"/>
        <v>0.98590701640310585</v>
      </c>
      <c r="BA73" s="15">
        <f t="shared" si="26"/>
        <v>0.95398335077284746</v>
      </c>
    </row>
    <row r="74" spans="16:53" ht="15" customHeight="1" x14ac:dyDescent="0.3">
      <c r="P74" s="58">
        <v>37.5</v>
      </c>
      <c r="Q74" s="15">
        <f t="shared" si="43"/>
        <v>4.8311124965710439</v>
      </c>
      <c r="R74" s="15">
        <f t="shared" si="28"/>
        <v>7.4756703506611011E-2</v>
      </c>
      <c r="AX74" s="14">
        <v>44.5</v>
      </c>
      <c r="AY74" s="15">
        <v>4.5323450000000003</v>
      </c>
      <c r="AZ74" s="15">
        <f t="shared" si="44"/>
        <v>0.9893022077709992</v>
      </c>
      <c r="BA74" s="15">
        <f t="shared" si="26"/>
        <v>0.96134105110082302</v>
      </c>
    </row>
    <row r="75" spans="16:53" ht="15" customHeight="1" x14ac:dyDescent="0.3">
      <c r="P75" s="58">
        <v>38</v>
      </c>
      <c r="Q75" s="15">
        <f t="shared" si="43"/>
        <v>4.9022541528106807</v>
      </c>
      <c r="R75" s="15">
        <f t="shared" si="28"/>
        <v>7.1634535197698135E-2</v>
      </c>
      <c r="AX75" s="14">
        <v>45</v>
      </c>
      <c r="AY75" s="15">
        <v>4.8097000000000003</v>
      </c>
      <c r="AZ75" s="15">
        <f t="shared" si="44"/>
        <v>0.99188281925836119</v>
      </c>
      <c r="BA75" s="15">
        <f t="shared" si="26"/>
        <v>0.9678959889410127</v>
      </c>
    </row>
    <row r="76" spans="16:53" ht="15" customHeight="1" x14ac:dyDescent="0.3">
      <c r="P76" s="58">
        <v>38.5</v>
      </c>
      <c r="Q76" s="15">
        <f t="shared" si="43"/>
        <v>4.9743815669664402</v>
      </c>
      <c r="R76" s="15">
        <f t="shared" si="28"/>
        <v>6.8285551025079272E-2</v>
      </c>
      <c r="AX76" s="14">
        <v>45.5</v>
      </c>
      <c r="AY76" s="15">
        <v>5.1114049999999995</v>
      </c>
      <c r="AZ76" s="15">
        <f t="shared" si="44"/>
        <v>0.99399052140390287</v>
      </c>
      <c r="BA76" s="15">
        <f t="shared" si="26"/>
        <v>0.97365730806616113</v>
      </c>
    </row>
    <row r="77" spans="16:53" ht="15" customHeight="1" x14ac:dyDescent="0.3">
      <c r="P77" s="58">
        <v>39</v>
      </c>
      <c r="Q77" s="15">
        <f t="shared" si="43"/>
        <v>5.0388252548608392</v>
      </c>
      <c r="R77" s="15">
        <f t="shared" si="28"/>
        <v>6.4728218795004899E-2</v>
      </c>
      <c r="AX77" s="14">
        <v>46</v>
      </c>
      <c r="AY77" s="15">
        <v>5.4131099999999996</v>
      </c>
      <c r="AZ77" s="15">
        <f t="shared" si="44"/>
        <v>0.99555216602957797</v>
      </c>
      <c r="BA77" s="15">
        <f t="shared" si="26"/>
        <v>0.97864890833450058</v>
      </c>
    </row>
    <row r="78" spans="16:53" ht="15" customHeight="1" x14ac:dyDescent="0.3">
      <c r="P78" s="58">
        <v>39.5</v>
      </c>
      <c r="Q78" s="15">
        <f t="shared" si="43"/>
        <v>5.10383800455645</v>
      </c>
      <c r="R78" s="15">
        <f t="shared" si="28"/>
        <v>6.0990033635480945E-2</v>
      </c>
      <c r="AX78" s="14">
        <v>46.5</v>
      </c>
      <c r="AY78" s="15">
        <v>5.7708750000000002</v>
      </c>
      <c r="AZ78" s="15">
        <f t="shared" si="44"/>
        <v>0.99688782397086073</v>
      </c>
      <c r="BA78" s="15">
        <f t="shared" si="26"/>
        <v>0.98292230972481287</v>
      </c>
    </row>
    <row r="79" spans="16:53" ht="15" customHeight="1" x14ac:dyDescent="0.3">
      <c r="P79" s="58">
        <v>40</v>
      </c>
      <c r="Q79" s="15">
        <f t="shared" si="43"/>
        <v>5.1608053221318011</v>
      </c>
      <c r="R79" s="15">
        <f t="shared" si="28"/>
        <v>5.6856214569443786E-2</v>
      </c>
      <c r="AX79" s="14">
        <v>47</v>
      </c>
      <c r="AY79" s="15">
        <v>6.1286399999999999</v>
      </c>
      <c r="AZ79" s="15">
        <f t="shared" si="44"/>
        <v>0.99782283035479935</v>
      </c>
      <c r="BA79" s="15">
        <f t="shared" si="26"/>
        <v>0.98653215370796721</v>
      </c>
    </row>
    <row r="80" spans="16:53" ht="15" customHeight="1" x14ac:dyDescent="0.3">
      <c r="P80" s="58">
        <v>40.5</v>
      </c>
      <c r="Q80" s="15">
        <f t="shared" si="43"/>
        <v>5.2175504336953376</v>
      </c>
      <c r="R80" s="15">
        <f t="shared" si="28"/>
        <v>5.2657725630700813E-2</v>
      </c>
      <c r="AX80" s="14">
        <v>47.5</v>
      </c>
      <c r="AY80" s="15">
        <v>6.5994299999999999</v>
      </c>
      <c r="AZ80" s="15">
        <f t="shared" si="44"/>
        <v>0.9986397822675217</v>
      </c>
      <c r="BA80" s="15">
        <f t="shared" si="26"/>
        <v>0.98953928224250864</v>
      </c>
    </row>
    <row r="81" spans="16:53" ht="15" customHeight="1" x14ac:dyDescent="0.3">
      <c r="P81" s="58">
        <v>41</v>
      </c>
      <c r="Q81" s="15">
        <f t="shared" si="43"/>
        <v>5.2661207733932027</v>
      </c>
      <c r="R81" s="15">
        <f t="shared" si="28"/>
        <v>4.7617872064610545E-2</v>
      </c>
      <c r="AX81" s="14">
        <v>48</v>
      </c>
      <c r="AY81" s="15">
        <v>7.0702199999999999</v>
      </c>
      <c r="AZ81" s="15">
        <f t="shared" si="44"/>
        <v>0.99915031510836183</v>
      </c>
      <c r="BA81" s="15">
        <f t="shared" ref="BA81:BA85" si="45">0.2*(0.25*(AZ71+AZ81)+0.5*SUM(AZ72:AZ80))</f>
        <v>0.99200350567229645</v>
      </c>
    </row>
    <row r="82" spans="16:53" ht="15" customHeight="1" x14ac:dyDescent="0.3">
      <c r="P82" s="58">
        <v>41.5</v>
      </c>
      <c r="Q82" s="15">
        <f t="shared" si="43"/>
        <v>5.3127861778245586</v>
      </c>
      <c r="R82" s="15">
        <f t="shared" si="28"/>
        <v>4.2819384638986602E-2</v>
      </c>
      <c r="AX82" s="14">
        <v>48.5</v>
      </c>
      <c r="AY82" s="15">
        <v>7.8593049999999991</v>
      </c>
      <c r="AZ82" s="15">
        <f t="shared" si="44"/>
        <v>0.9996139323963561</v>
      </c>
      <c r="BA82" s="15">
        <f t="shared" si="45"/>
        <v>0.99399344160351566</v>
      </c>
    </row>
    <row r="83" spans="16:53" ht="15" customHeight="1" x14ac:dyDescent="0.3">
      <c r="P83" s="58">
        <v>42</v>
      </c>
      <c r="Q83" s="15">
        <f t="shared" si="43"/>
        <v>5.3517595426711759</v>
      </c>
      <c r="R83" s="15">
        <f t="shared" si="28"/>
        <v>3.7981874490318646E-2</v>
      </c>
      <c r="AX83" s="14">
        <v>49</v>
      </c>
      <c r="AY83" s="15">
        <v>8.6483899999999991</v>
      </c>
      <c r="AZ83" s="15">
        <f t="shared" si="44"/>
        <v>0.99982460635378612</v>
      </c>
      <c r="BA83" s="15">
        <f t="shared" si="45"/>
        <v>0.9955708209939188</v>
      </c>
    </row>
    <row r="84" spans="16:53" ht="15" customHeight="1" x14ac:dyDescent="0.3">
      <c r="P84" s="58">
        <v>42.5</v>
      </c>
      <c r="Q84" s="15">
        <f t="shared" si="43"/>
        <v>5.3887499268051959</v>
      </c>
      <c r="R84" s="15">
        <f t="shared" si="28"/>
        <v>3.3474105894442108E-2</v>
      </c>
      <c r="AX84" s="14">
        <v>49.5</v>
      </c>
      <c r="AY84" s="15">
        <v>11.824195</v>
      </c>
      <c r="AZ84" s="15">
        <v>0.99999899999999997</v>
      </c>
      <c r="BA84" s="15">
        <f t="shared" si="45"/>
        <v>0.99680154010290289</v>
      </c>
    </row>
    <row r="85" spans="16:53" ht="15" customHeight="1" x14ac:dyDescent="0.3">
      <c r="P85" s="58">
        <v>43</v>
      </c>
      <c r="Q85" s="15">
        <f t="shared" ref="Q85:Q106" si="46">$I$7*EXP(-EXP(-($I$5+$I$6*AY71)))</f>
        <v>5.4187077544600601</v>
      </c>
      <c r="R85" s="15">
        <f t="shared" ref="R85:R105" si="47">(Q86-Q84)/2</f>
        <v>2.8685216330879726E-2</v>
      </c>
      <c r="AX85" s="14">
        <v>50</v>
      </c>
      <c r="AY85" s="15">
        <v>15</v>
      </c>
      <c r="AZ85" s="15">
        <v>0.99999899999999997</v>
      </c>
      <c r="BA85" s="15">
        <f t="shared" si="45"/>
        <v>0.99774218875143461</v>
      </c>
    </row>
    <row r="86" spans="16:53" ht="15" customHeight="1" x14ac:dyDescent="0.3">
      <c r="P86" s="58">
        <v>43.5</v>
      </c>
      <c r="Q86" s="15">
        <f t="shared" si="46"/>
        <v>5.4461203594669554</v>
      </c>
      <c r="R86" s="15">
        <f t="shared" si="47"/>
        <v>2.4435997564065559E-2</v>
      </c>
      <c r="AX86" s="14">
        <v>50.5</v>
      </c>
      <c r="AY86" s="15">
        <v>99999</v>
      </c>
      <c r="AZ86" s="15">
        <v>1</v>
      </c>
      <c r="BA86" s="15">
        <f t="shared" ref="BA86:BA91" si="48">0.2*(0.25*(AZ76+AZ86)+0.5*SUM(AZ77:AZ85))</f>
        <v>0.99844847171832152</v>
      </c>
    </row>
    <row r="87" spans="16:53" ht="15" customHeight="1" x14ac:dyDescent="0.3">
      <c r="P87" s="58">
        <v>44</v>
      </c>
      <c r="Q87" s="15">
        <f t="shared" si="46"/>
        <v>5.4675797495881913</v>
      </c>
      <c r="R87" s="15">
        <f t="shared" si="47"/>
        <v>1.9997930238324191E-2</v>
      </c>
      <c r="AX87" s="14">
        <v>51</v>
      </c>
      <c r="AY87" s="15">
        <v>99999</v>
      </c>
      <c r="AZ87" s="15">
        <v>1</v>
      </c>
      <c r="BA87" s="15">
        <f t="shared" si="48"/>
        <v>0.99897133734664745</v>
      </c>
    </row>
    <row r="88" spans="16:53" ht="15" customHeight="1" x14ac:dyDescent="0.3">
      <c r="P88" s="58">
        <v>44.5</v>
      </c>
      <c r="Q88" s="15">
        <f t="shared" si="46"/>
        <v>5.4861162199436038</v>
      </c>
      <c r="R88" s="15">
        <f t="shared" si="47"/>
        <v>1.6298639931498826E-2</v>
      </c>
      <c r="AX88" s="14">
        <v>51.5</v>
      </c>
      <c r="AY88" s="15">
        <v>99999</v>
      </c>
      <c r="AZ88" s="15">
        <v>1</v>
      </c>
      <c r="BA88" s="15">
        <f t="shared" si="48"/>
        <v>0.99934933784662572</v>
      </c>
    </row>
    <row r="89" spans="16:53" ht="15" customHeight="1" x14ac:dyDescent="0.3">
      <c r="P89" s="58">
        <v>45</v>
      </c>
      <c r="Q89" s="15">
        <f t="shared" si="46"/>
        <v>5.5001770294511889</v>
      </c>
      <c r="R89" s="15">
        <f t="shared" si="47"/>
        <v>1.276048378722594E-2</v>
      </c>
      <c r="AX89" s="14">
        <v>52</v>
      </c>
      <c r="AY89" s="15">
        <v>99999</v>
      </c>
      <c r="AZ89" s="15">
        <v>1</v>
      </c>
      <c r="BA89" s="15">
        <f t="shared" si="48"/>
        <v>0.99961380513034259</v>
      </c>
    </row>
    <row r="90" spans="16:53" ht="15" customHeight="1" x14ac:dyDescent="0.3">
      <c r="P90" s="58">
        <v>45.5</v>
      </c>
      <c r="Q90" s="15">
        <f t="shared" si="46"/>
        <v>5.5116371875180556</v>
      </c>
      <c r="R90" s="15">
        <f t="shared" si="47"/>
        <v>9.9663983422479951E-3</v>
      </c>
      <c r="AX90" s="14">
        <v>52.5</v>
      </c>
      <c r="AY90" s="15">
        <v>99999</v>
      </c>
      <c r="AZ90" s="15">
        <v>1</v>
      </c>
      <c r="BA90" s="15">
        <f t="shared" si="48"/>
        <v>0.99979067449922665</v>
      </c>
    </row>
    <row r="91" spans="16:53" ht="15" customHeight="1" x14ac:dyDescent="0.3">
      <c r="P91" s="58">
        <v>46</v>
      </c>
      <c r="Q91" s="15">
        <f t="shared" si="46"/>
        <v>5.5201098261356849</v>
      </c>
      <c r="R91" s="15">
        <f t="shared" si="47"/>
        <v>7.8511009655866104E-3</v>
      </c>
      <c r="AX91" s="14">
        <v>53</v>
      </c>
      <c r="AY91" s="15">
        <v>99999</v>
      </c>
      <c r="AZ91" s="15">
        <v>1</v>
      </c>
      <c r="BA91" s="15">
        <f t="shared" si="48"/>
        <v>0.99990116963043241</v>
      </c>
    </row>
    <row r="92" spans="16:53" ht="15" customHeight="1" x14ac:dyDescent="0.3">
      <c r="P92" s="58">
        <v>46.5</v>
      </c>
      <c r="Q92" s="15">
        <f t="shared" si="46"/>
        <v>5.5273393894492289</v>
      </c>
      <c r="R92" s="15">
        <f t="shared" si="47"/>
        <v>6.1387736857505537E-3</v>
      </c>
      <c r="AX92" s="14">
        <v>53.5</v>
      </c>
      <c r="AY92" s="15">
        <v>100000</v>
      </c>
      <c r="AZ92" s="14">
        <v>1</v>
      </c>
    </row>
    <row r="93" spans="16:53" ht="15" customHeight="1" x14ac:dyDescent="0.3">
      <c r="P93" s="58">
        <v>47</v>
      </c>
      <c r="Q93" s="15">
        <f t="shared" si="46"/>
        <v>5.532387373507186</v>
      </c>
      <c r="R93" s="15">
        <f t="shared" si="47"/>
        <v>4.7229061579092679E-3</v>
      </c>
    </row>
    <row r="94" spans="16:53" ht="15" customHeight="1" x14ac:dyDescent="0.3">
      <c r="P94" s="58">
        <v>47.5</v>
      </c>
      <c r="Q94" s="15">
        <f t="shared" si="46"/>
        <v>5.5367852017650474</v>
      </c>
      <c r="R94" s="15">
        <f t="shared" si="47"/>
        <v>3.5684635090600381E-3</v>
      </c>
    </row>
    <row r="95" spans="16:53" ht="15" customHeight="1" x14ac:dyDescent="0.3">
      <c r="P95" s="58">
        <v>48</v>
      </c>
      <c r="Q95" s="15">
        <f t="shared" si="46"/>
        <v>5.5395243005253061</v>
      </c>
      <c r="R95" s="15">
        <f t="shared" si="47"/>
        <v>2.6079732649892939E-3</v>
      </c>
    </row>
    <row r="96" spans="16:53" ht="15" customHeight="1" x14ac:dyDescent="0.3">
      <c r="P96" s="58">
        <v>48.5</v>
      </c>
      <c r="Q96" s="15">
        <f t="shared" si="46"/>
        <v>5.542001148295026</v>
      </c>
      <c r="R96" s="15">
        <f t="shared" si="47"/>
        <v>1.7980349613586633E-3</v>
      </c>
    </row>
    <row r="97" spans="16:18" ht="15" customHeight="1" x14ac:dyDescent="0.3">
      <c r="P97" s="58">
        <v>49</v>
      </c>
      <c r="Q97" s="15">
        <f t="shared" si="46"/>
        <v>5.5431203704480234</v>
      </c>
      <c r="R97" s="15">
        <f t="shared" si="47"/>
        <v>1.0019336714406357E-3</v>
      </c>
    </row>
    <row r="98" spans="16:18" ht="15" customHeight="1" x14ac:dyDescent="0.3">
      <c r="P98" s="58">
        <v>49.5</v>
      </c>
      <c r="Q98" s="15">
        <f t="shared" si="46"/>
        <v>5.5440050156379073</v>
      </c>
      <c r="R98" s="15">
        <f t="shared" si="47"/>
        <v>4.6038460192932007E-4</v>
      </c>
    </row>
    <row r="99" spans="16:18" ht="15" customHeight="1" x14ac:dyDescent="0.3">
      <c r="P99" s="58">
        <v>50</v>
      </c>
      <c r="Q99" s="15">
        <f t="shared" si="46"/>
        <v>5.5440411396518821</v>
      </c>
      <c r="R99" s="15">
        <f t="shared" si="47"/>
        <v>1.8830895186283669E-5</v>
      </c>
    </row>
    <row r="100" spans="16:18" ht="15" customHeight="1" x14ac:dyDescent="0.3">
      <c r="P100" s="58">
        <v>50.5</v>
      </c>
      <c r="Q100" s="15">
        <f t="shared" si="46"/>
        <v>5.5440426774282798</v>
      </c>
      <c r="R100" s="15">
        <f t="shared" si="47"/>
        <v>7.688881988876517E-7</v>
      </c>
    </row>
    <row r="101" spans="16:18" ht="15" customHeight="1" x14ac:dyDescent="0.3">
      <c r="P101" s="58">
        <v>51</v>
      </c>
      <c r="Q101" s="15">
        <f t="shared" si="46"/>
        <v>5.5440426774282798</v>
      </c>
      <c r="R101" s="15">
        <f t="shared" si="47"/>
        <v>0</v>
      </c>
    </row>
    <row r="102" spans="16:18" ht="15" customHeight="1" x14ac:dyDescent="0.3">
      <c r="P102" s="58">
        <v>51.5</v>
      </c>
      <c r="Q102" s="15">
        <f t="shared" si="46"/>
        <v>5.5440426774282798</v>
      </c>
      <c r="R102" s="15">
        <f t="shared" si="47"/>
        <v>0</v>
      </c>
    </row>
    <row r="103" spans="16:18" ht="15" customHeight="1" x14ac:dyDescent="0.3">
      <c r="P103" s="58">
        <v>52</v>
      </c>
      <c r="Q103" s="15">
        <f t="shared" si="46"/>
        <v>5.5440426774282798</v>
      </c>
      <c r="R103" s="15">
        <f t="shared" si="47"/>
        <v>0</v>
      </c>
    </row>
    <row r="104" spans="16:18" ht="15" customHeight="1" x14ac:dyDescent="0.3">
      <c r="P104" s="58">
        <v>52.5</v>
      </c>
      <c r="Q104" s="15">
        <f t="shared" si="46"/>
        <v>5.5440426774282798</v>
      </c>
      <c r="R104" s="15">
        <f t="shared" si="47"/>
        <v>0</v>
      </c>
    </row>
    <row r="105" spans="16:18" ht="15" customHeight="1" x14ac:dyDescent="0.3">
      <c r="P105" s="58">
        <v>53</v>
      </c>
      <c r="Q105" s="15">
        <f t="shared" si="46"/>
        <v>5.5440426774282798</v>
      </c>
      <c r="R105" s="15">
        <f t="shared" si="47"/>
        <v>0</v>
      </c>
    </row>
    <row r="106" spans="16:18" ht="15" customHeight="1" x14ac:dyDescent="0.3">
      <c r="P106" s="58">
        <v>53.5</v>
      </c>
      <c r="Q106" s="15">
        <f t="shared" si="46"/>
        <v>5.5440426774282798</v>
      </c>
      <c r="R106" s="15"/>
    </row>
  </sheetData>
  <sheetProtection sheet="1" objects="1" scenarios="1"/>
  <mergeCells count="3">
    <mergeCell ref="AM28:AN28"/>
    <mergeCell ref="AJ28:AL28"/>
    <mergeCell ref="AK3:AR3"/>
  </mergeCells>
  <phoneticPr fontId="0" type="noConversion"/>
  <dataValidations count="1">
    <dataValidation type="whole" allowBlank="1" showInputMessage="1" showErrorMessage="1" error="Values allowed are only_x000a_1 - Yes (point included in model)_x000a_0 or blank - No (point excluded)" sqref="E3:E11">
      <formula1>0</formula1>
      <formula2>1</formula2>
    </dataValidation>
  </dataValidations>
  <pageMargins left="0.75" right="0.75" top="1" bottom="1" header="0.5" footer="0.5"/>
  <pageSetup paperSize="9" scale="91" orientation="landscape" copies="9"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9732C9D-FE76-4F46-9249-13663C56C2D5}">
            <xm:f>Introduction!$E$13=0</xm:f>
            <x14:dxf>
              <font>
                <color rgb="FFC6EFCE"/>
              </font>
            </x14:dxf>
          </x14:cfRule>
          <xm:sqref>C4</xm:sqref>
        </x14:conditionalFormatting>
        <x14:conditionalFormatting xmlns:xm="http://schemas.microsoft.com/office/excel/2006/main">
          <x14:cfRule type="expression" priority="1" id="{82EB5D33-6E55-43FD-BC4A-20C7AFE0F55B}">
            <xm:f>Introduction!$E$13=0</xm:f>
            <x14:dxf>
              <font>
                <color rgb="FFC6EFCE"/>
              </font>
            </x14:dxf>
          </x14:cfRule>
          <xm:sqref>C5:C10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0"/>
  <sheetViews>
    <sheetView showGridLines="0" showRowColHeaders="0" workbookViewId="0">
      <selection activeCell="T34" sqref="T34"/>
    </sheetView>
  </sheetViews>
  <sheetFormatPr defaultColWidth="8.85546875" defaultRowHeight="12.75" x14ac:dyDescent="0.2"/>
  <sheetData>
    <row r="1" spans="1:1" x14ac:dyDescent="0.2">
      <c r="A1" t="s">
        <v>44</v>
      </c>
    </row>
    <row r="40" spans="1:1" x14ac:dyDescent="0.2">
      <c r="A40" t="s">
        <v>45</v>
      </c>
    </row>
  </sheetData>
  <sheetProtection sheet="1" objects="1" scenarios="1" selectLockedCells="1" selectUnlockedCells="1"/>
  <pageMargins left="0.75" right="0.75" top="1" bottom="1" header="0.5" footer="0.5"/>
  <pageSetup paperSize="9" scale="49" orientation="portrait" copies="9"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Méthode</vt:lpstr>
      <vt:lpstr>Graphiques diagnostiques</vt:lpstr>
      <vt:lpstr>Intersurvey_period</vt:lpstr>
      <vt:lpstr>Méthode!Print_Area</vt:lpstr>
    </vt:vector>
  </TitlesOfParts>
  <Company>University of Cape Town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Tom Moultrie</dc:creator>
  <cp:lastModifiedBy>Anne</cp:lastModifiedBy>
  <cp:lastPrinted>2007-08-13T06:10:36Z</cp:lastPrinted>
  <dcterms:created xsi:type="dcterms:W3CDTF">2002-08-06T12:17:02Z</dcterms:created>
  <dcterms:modified xsi:type="dcterms:W3CDTF">2017-02-12T18:45:00Z</dcterms:modified>
</cp:coreProperties>
</file>