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30" windowWidth="17400" windowHeight="7935"/>
  </bookViews>
  <sheets>
    <sheet name="Introduction" sheetId="2" r:id="rId1"/>
    <sheet name="Modèles" sheetId="4" r:id="rId2"/>
    <sheet name="Méthode" sheetId="1" r:id="rId3"/>
    <sheet name="Espérances de vie" sheetId="5" r:id="rId4"/>
    <sheet name="Graphiques" sheetId="3" r:id="rId5"/>
  </sheets>
  <externalReferences>
    <externalReference r:id="rId6"/>
    <externalReference r:id="rId7"/>
    <externalReference r:id="rId8"/>
    <externalReference r:id="rId9"/>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localSheetId="3" hidden="1">#REF!</definedName>
    <definedName name="_Key1" localSheetId="1" hidden="1">#REF!</definedName>
    <definedName name="_Key1" hidden="1">#REF!</definedName>
    <definedName name="_Order1" hidden="1">255</definedName>
    <definedName name="_Sort" localSheetId="3" hidden="1">#REF!</definedName>
    <definedName name="_Sort" localSheetId="1" hidden="1">#REF!</definedName>
    <definedName name="_Sort" hidden="1">#REF!</definedName>
    <definedName name="ALPHAC" localSheetId="3">#REF!</definedName>
    <definedName name="ALPHAC" localSheetId="1">#REF!</definedName>
    <definedName name="ALPHAC">#REF!</definedName>
    <definedName name="ALPHAF" localSheetId="3">#REF!</definedName>
    <definedName name="ALPHAF" localSheetId="1">#REF!</definedName>
    <definedName name="ALPHAF">#REF!</definedName>
    <definedName name="ALPHAP" localSheetId="3">#REF!</definedName>
    <definedName name="ALPHAP">#REF!</definedName>
    <definedName name="BETAC" localSheetId="3">#REF!</definedName>
    <definedName name="BETAC">#REF!</definedName>
    <definedName name="BETAF" localSheetId="3">#REF!</definedName>
    <definedName name="BETAF">#REF!</definedName>
    <definedName name="BETAP" localSheetId="3">#REF!</definedName>
    <definedName name="BETAP">#REF!</definedName>
    <definedName name="CCONST" localSheetId="3">#REF!</definedName>
    <definedName name="CCONST">#REF!</definedName>
    <definedName name="CINTERCEPT" localSheetId="3">#REF!</definedName>
    <definedName name="CINTERCEPT">#REF!</definedName>
    <definedName name="CSLOP" localSheetId="3">#REF!</definedName>
    <definedName name="CSLOP">#REF!</definedName>
    <definedName name="Date_of_survey" localSheetId="1">'[2]Maternal orphanhood'!$S$1</definedName>
    <definedName name="Date_of_survey">'[3]Maternal orphanhood'!$T$1</definedName>
    <definedName name="FCONST" localSheetId="3">#REF!</definedName>
    <definedName name="FCONST" localSheetId="1">#REF!</definedName>
    <definedName name="FCONST">#REF!</definedName>
    <definedName name="FINTERCEPT" localSheetId="3">#REF!</definedName>
    <definedName name="FINTERCEPT">#REF!</definedName>
    <definedName name="FPTS" localSheetId="3">#REF!</definedName>
    <definedName name="FPTS">#REF!</definedName>
    <definedName name="FSLOP" localSheetId="3">#REF!</definedName>
    <definedName name="FSLOP">#REF!</definedName>
    <definedName name="graph1" hidden="1">[4]GOMP!$Z$26:$Z$42</definedName>
    <definedName name="graph10" hidden="1">[4]GOMP!$Y$3:$Y$9</definedName>
    <definedName name="graph11" hidden="1">[4]GOMP!$AE$26:$AE$49</definedName>
    <definedName name="graph12" hidden="1">[4]GOMP!$AE$26:$AE$49</definedName>
    <definedName name="graph13" hidden="1">[4]GOMP!$AB$26:$AB$42</definedName>
    <definedName name="graph14" hidden="1">[4]GOMP!$AB$26:$AB$42</definedName>
    <definedName name="graph15" hidden="1">[4]GOMP!$V$3:$V$19</definedName>
    <definedName name="graph16" hidden="1">[4]GOMP!$V$3:$V$9</definedName>
    <definedName name="graph17" hidden="1">[4]GOMP!$AF$26:$AF$49</definedName>
    <definedName name="graph18" hidden="1">[4]GOMP!$AF$26:$AF$49</definedName>
    <definedName name="graph19" hidden="1">[4]GOMP!$Y$26:$Y$60</definedName>
    <definedName name="graph1a" localSheetId="3" hidden="1">#REF!</definedName>
    <definedName name="graph1a" localSheetId="1" hidden="1">#REF!</definedName>
    <definedName name="graph1a" hidden="1">#REF!</definedName>
    <definedName name="graph2" hidden="1">[4]GOMP!$Z$26:$Z$42</definedName>
    <definedName name="graph20" hidden="1">[4]GOMP!$Y$26:$Y$60</definedName>
    <definedName name="graph21" hidden="1">[4]GOMP!$W$3:$W$19</definedName>
    <definedName name="graph3" hidden="1">[4]GOMP!$X$3:$X$18</definedName>
    <definedName name="graph4" hidden="1">[4]GOMP!$AC$26:$AC$42</definedName>
    <definedName name="graph5" hidden="1">[4]GOMP!$AC$26:$AC$42</definedName>
    <definedName name="graph6" hidden="1">[4]GOMP!$Y$3:$Y$19</definedName>
    <definedName name="graph7" hidden="1">[4]GOMP!$AA$26:$AA$60</definedName>
    <definedName name="graph8" hidden="1">[4]GOMP!$AA$26:$AA$60</definedName>
    <definedName name="graph9" hidden="1">[4]GOMP!$X$3:$X$9</definedName>
    <definedName name="HALF" localSheetId="3">#REF!</definedName>
    <definedName name="HALF" localSheetId="1">#REF!</definedName>
    <definedName name="HALF">#REF!</definedName>
    <definedName name="IMPORT" localSheetId="3">#REF!</definedName>
    <definedName name="IMPORT" localSheetId="1">#REF!</definedName>
    <definedName name="IMPORT">#REF!</definedName>
    <definedName name="INPUT" localSheetId="3">#REF!</definedName>
    <definedName name="INPUT" localSheetId="1">#REF!</definedName>
    <definedName name="INPUT">#REF!</definedName>
    <definedName name="LEGB" localSheetId="3">#REF!</definedName>
    <definedName name="LEGB">#REF!</definedName>
    <definedName name="LEGC" localSheetId="3">#REF!</definedName>
    <definedName name="LEGC">#REF!</definedName>
    <definedName name="LEVELC" localSheetId="3">#REF!</definedName>
    <definedName name="LEVELC">#REF!</definedName>
    <definedName name="LEVELF" localSheetId="3">#REF!</definedName>
    <definedName name="LEVELF">#REF!</definedName>
    <definedName name="LEVELP" localSheetId="3">#REF!</definedName>
    <definedName name="LEVELP">#REF!</definedName>
    <definedName name="MAXF" localSheetId="3">#REF!</definedName>
    <definedName name="MAXF">#REF!</definedName>
    <definedName name="MAXP" localSheetId="3">#REF!</definedName>
    <definedName name="MAXP">#REF!</definedName>
    <definedName name="MBAR" localSheetId="1">'[2]Maternal orphanhood'!$D$57</definedName>
    <definedName name="MBAR">'[3]Maternal orphanhood'!$D$43</definedName>
    <definedName name="MBAR_m" localSheetId="1">'[2]Paternal orphanhood'!$C$43</definedName>
    <definedName name="MBAR_m">'[3]Paternal orphanhood'!$C$31</definedName>
    <definedName name="MINF" localSheetId="3">#REF!</definedName>
    <definedName name="MINF" localSheetId="1">#REF!</definedName>
    <definedName name="MINF">#REF!</definedName>
    <definedName name="MINP" localSheetId="3">#REF!</definedName>
    <definedName name="MINP">#REF!</definedName>
    <definedName name="NC" localSheetId="3">#REF!</definedName>
    <definedName name="NC">#REF!</definedName>
    <definedName name="NF" localSheetId="3">#REF!</definedName>
    <definedName name="NF">#REF!</definedName>
    <definedName name="NONE" localSheetId="3">#REF!</definedName>
    <definedName name="NONE">#REF!</definedName>
    <definedName name="NP" localSheetId="3">#REF!</definedName>
    <definedName name="NP">#REF!</definedName>
    <definedName name="ONE_AHALF" localSheetId="3">#REF!</definedName>
    <definedName name="ONE_AHALF">#REF!</definedName>
    <definedName name="PCONST" localSheetId="3">#REF!</definedName>
    <definedName name="PCONST">#REF!</definedName>
    <definedName name="PINTERCEPT" localSheetId="3">#REF!</definedName>
    <definedName name="PINTERCEPT">#REF!</definedName>
    <definedName name="PPTS" localSheetId="3">#REF!</definedName>
    <definedName name="PPTS">#REF!</definedName>
    <definedName name="PSLOP" localSheetId="3">#REF!</definedName>
    <definedName name="PSLOP">#REF!</definedName>
    <definedName name="SHIFT" localSheetId="3">#REF!</definedName>
    <definedName name="SHIFT">#REF!</definedName>
    <definedName name="solver_adj" localSheetId="3" hidden="1">'Espérances de vie'!#REF!</definedName>
    <definedName name="solver_adj" localSheetId="2" hidden="1">Méthode!$M$2</definedName>
    <definedName name="solver_cvg" localSheetId="3" hidden="1">0.0001</definedName>
    <definedName name="solver_cvg" localSheetId="2" hidden="1">0.0001</definedName>
    <definedName name="solver_drv" localSheetId="3" hidden="1">1</definedName>
    <definedName name="solver_drv" localSheetId="2" hidden="1">1</definedName>
    <definedName name="solver_est" localSheetId="3" hidden="1">1</definedName>
    <definedName name="solver_est" localSheetId="2" hidden="1">1</definedName>
    <definedName name="solver_itr" localSheetId="3" hidden="1">100</definedName>
    <definedName name="solver_itr" localSheetId="2" hidden="1">100</definedName>
    <definedName name="solver_lin" localSheetId="3" hidden="1">2</definedName>
    <definedName name="solver_lin" localSheetId="2" hidden="1">2</definedName>
    <definedName name="solver_neg" localSheetId="3" hidden="1">2</definedName>
    <definedName name="solver_neg" localSheetId="2" hidden="1">2</definedName>
    <definedName name="solver_num" localSheetId="3" hidden="1">0</definedName>
    <definedName name="solver_num" localSheetId="2" hidden="1">0</definedName>
    <definedName name="solver_nwt" localSheetId="3" hidden="1">1</definedName>
    <definedName name="solver_nwt" localSheetId="2" hidden="1">1</definedName>
    <definedName name="solver_opt" localSheetId="3" hidden="1">'Espérances de vie'!#REF!</definedName>
    <definedName name="solver_opt" localSheetId="2" hidden="1">Méthode!$M$3</definedName>
    <definedName name="solver_pre" localSheetId="3" hidden="1">0.000001</definedName>
    <definedName name="solver_pre" localSheetId="2" hidden="1">0.000001</definedName>
    <definedName name="solver_scl" localSheetId="3" hidden="1">2</definedName>
    <definedName name="solver_scl" localSheetId="2" hidden="1">2</definedName>
    <definedName name="solver_sho" localSheetId="3" hidden="1">2</definedName>
    <definedName name="solver_sho" localSheetId="2" hidden="1">2</definedName>
    <definedName name="solver_tim" localSheetId="3" hidden="1">100</definedName>
    <definedName name="solver_tim" localSheetId="2" hidden="1">100</definedName>
    <definedName name="solver_tol" localSheetId="3" hidden="1">0.05</definedName>
    <definedName name="solver_tol" localSheetId="2" hidden="1">0.05</definedName>
    <definedName name="solver_typ" localSheetId="3" hidden="1">2</definedName>
    <definedName name="solver_typ" localSheetId="2" hidden="1">2</definedName>
    <definedName name="solver_val" localSheetId="3" hidden="1">0</definedName>
    <definedName name="solver_val" localSheetId="2" hidden="1">0</definedName>
    <definedName name="TITLE" localSheetId="3">#REF!</definedName>
    <definedName name="TITLE" localSheetId="1">#REF!</definedName>
    <definedName name="TITLE">#REF!</definedName>
    <definedName name="WHICH" localSheetId="3">#REF!</definedName>
    <definedName name="WHICH" localSheetId="1">#REF!</definedName>
    <definedName name="WHICH">#REF!</definedName>
    <definedName name="WHOLE" localSheetId="3">#REF!</definedName>
    <definedName name="WHOLE" localSheetId="1">#REF!</definedName>
    <definedName name="WHOLE">#REF!</definedName>
    <definedName name="XC" localSheetId="3">#REF!</definedName>
    <definedName name="XC">#REF!</definedName>
    <definedName name="XF" localSheetId="3">#REF!</definedName>
    <definedName name="XF">#REF!</definedName>
    <definedName name="XP" localSheetId="3">#REF!</definedName>
    <definedName name="XP">#REF!</definedName>
    <definedName name="XXC" localSheetId="3">#REF!</definedName>
    <definedName name="XXC">#REF!</definedName>
    <definedName name="XXF" localSheetId="3">#REF!</definedName>
    <definedName name="XXF">#REF!</definedName>
    <definedName name="XXP" localSheetId="3">#REF!</definedName>
    <definedName name="XXP">#REF!</definedName>
    <definedName name="XYC" localSheetId="3">#REF!</definedName>
    <definedName name="XYC">#REF!</definedName>
    <definedName name="XYF" localSheetId="3">#REF!</definedName>
    <definedName name="XYF">#REF!</definedName>
    <definedName name="XYP" localSheetId="3">#REF!</definedName>
    <definedName name="XYP">#REF!</definedName>
    <definedName name="YC" localSheetId="3">#REF!</definedName>
    <definedName name="YC">#REF!</definedName>
    <definedName name="YF" localSheetId="3">#REF!</definedName>
    <definedName name="YF">#REF!</definedName>
    <definedName name="YP" localSheetId="3">#REF!</definedName>
    <definedName name="YP">#REF!</definedName>
    <definedName name="YYC" localSheetId="3">#REF!</definedName>
    <definedName name="YYC">#REF!</definedName>
    <definedName name="YYF" localSheetId="3">#REF!</definedName>
    <definedName name="YYF">#REF!</definedName>
    <definedName name="YYP" localSheetId="3">#REF!</definedName>
    <definedName name="YYP">#REF!</definedName>
  </definedNames>
  <calcPr calcId="145621"/>
</workbook>
</file>

<file path=xl/calcChain.xml><?xml version="1.0" encoding="utf-8"?>
<calcChain xmlns="http://schemas.openxmlformats.org/spreadsheetml/2006/main">
  <c r="B42" i="4" l="1"/>
  <c r="B41" i="4"/>
  <c r="B40" i="4"/>
  <c r="B39" i="4"/>
  <c r="B38" i="4"/>
  <c r="B37" i="4"/>
  <c r="B36" i="4"/>
  <c r="B35" i="4"/>
  <c r="B34" i="4"/>
  <c r="B33" i="4"/>
  <c r="B32" i="4"/>
  <c r="B31" i="4"/>
  <c r="B30" i="4"/>
  <c r="B29" i="4"/>
  <c r="B28" i="4"/>
  <c r="B27" i="4"/>
  <c r="B26" i="4"/>
  <c r="L2" i="1" l="1"/>
  <c r="I4" i="1"/>
  <c r="G2" i="1" l="1"/>
  <c r="B29" i="5" l="1"/>
  <c r="G3" i="1" l="1"/>
  <c r="C3" i="1"/>
  <c r="C1" i="1"/>
  <c r="H24" i="5" l="1"/>
  <c r="C9" i="5" l="1"/>
  <c r="C10" i="5"/>
  <c r="C11" i="5"/>
  <c r="C12" i="5"/>
  <c r="C13" i="5"/>
  <c r="C14" i="5"/>
  <c r="C15" i="5"/>
  <c r="C16" i="5"/>
  <c r="C17" i="5"/>
  <c r="C18" i="5"/>
  <c r="C19" i="5"/>
  <c r="C20" i="5"/>
  <c r="C21" i="5"/>
  <c r="C22" i="5"/>
  <c r="C23" i="5"/>
  <c r="C24" i="5"/>
  <c r="C8" i="5"/>
  <c r="AA43" i="5"/>
  <c r="Z43" i="5"/>
  <c r="Y43" i="5"/>
  <c r="X43" i="5"/>
  <c r="W43" i="5"/>
  <c r="V43" i="5"/>
  <c r="U43" i="5"/>
  <c r="T43" i="5"/>
  <c r="S43" i="5"/>
  <c r="R43" i="5"/>
  <c r="Q43" i="5"/>
  <c r="P43" i="5"/>
  <c r="O43" i="5"/>
  <c r="N43" i="5"/>
  <c r="M43" i="5"/>
  <c r="L43" i="5"/>
  <c r="K43" i="5"/>
  <c r="J43" i="5"/>
  <c r="I43" i="5"/>
  <c r="H43" i="5"/>
  <c r="G43" i="5"/>
  <c r="F43" i="5"/>
  <c r="E43" i="5"/>
  <c r="D43" i="5"/>
  <c r="C43" i="5"/>
  <c r="AA42" i="5"/>
  <c r="Z42" i="5"/>
  <c r="Y42" i="5"/>
  <c r="X42" i="5"/>
  <c r="W42" i="5"/>
  <c r="V42" i="5"/>
  <c r="U42" i="5"/>
  <c r="T42" i="5"/>
  <c r="S42" i="5"/>
  <c r="R42" i="5"/>
  <c r="Q42" i="5"/>
  <c r="P42" i="5"/>
  <c r="O42" i="5"/>
  <c r="N42" i="5"/>
  <c r="M42" i="5"/>
  <c r="L42" i="5"/>
  <c r="K42" i="5"/>
  <c r="J42" i="5"/>
  <c r="I42" i="5"/>
  <c r="H42" i="5"/>
  <c r="G42" i="5"/>
  <c r="F42" i="5"/>
  <c r="E42" i="5"/>
  <c r="D42" i="5"/>
  <c r="C42" i="5"/>
  <c r="AA41" i="5"/>
  <c r="Z41" i="5"/>
  <c r="Y41" i="5"/>
  <c r="X41" i="5"/>
  <c r="W41" i="5"/>
  <c r="V41" i="5"/>
  <c r="U41" i="5"/>
  <c r="T41" i="5"/>
  <c r="S41" i="5"/>
  <c r="R41" i="5"/>
  <c r="Q41" i="5"/>
  <c r="P41" i="5"/>
  <c r="O41" i="5"/>
  <c r="N41" i="5"/>
  <c r="M41" i="5"/>
  <c r="L41" i="5"/>
  <c r="K41" i="5"/>
  <c r="J41" i="5"/>
  <c r="I41" i="5"/>
  <c r="H41" i="5"/>
  <c r="G41" i="5"/>
  <c r="F41" i="5"/>
  <c r="E41" i="5"/>
  <c r="D41" i="5"/>
  <c r="C41" i="5"/>
  <c r="AA40" i="5"/>
  <c r="Z40" i="5"/>
  <c r="Y40" i="5"/>
  <c r="X40" i="5"/>
  <c r="W40" i="5"/>
  <c r="V40" i="5"/>
  <c r="U40" i="5"/>
  <c r="T40" i="5"/>
  <c r="S40" i="5"/>
  <c r="R40" i="5"/>
  <c r="Q40" i="5"/>
  <c r="P40" i="5"/>
  <c r="O40" i="5"/>
  <c r="N40" i="5"/>
  <c r="M40" i="5"/>
  <c r="L40" i="5"/>
  <c r="K40" i="5"/>
  <c r="J40" i="5"/>
  <c r="I40" i="5"/>
  <c r="H40" i="5"/>
  <c r="G40" i="5"/>
  <c r="F40" i="5"/>
  <c r="E40" i="5"/>
  <c r="D40" i="5"/>
  <c r="C40" i="5"/>
  <c r="AA39" i="5"/>
  <c r="Z39" i="5"/>
  <c r="Y39" i="5"/>
  <c r="X39" i="5"/>
  <c r="W39" i="5"/>
  <c r="V39" i="5"/>
  <c r="U39" i="5"/>
  <c r="T39" i="5"/>
  <c r="S39" i="5"/>
  <c r="R39" i="5"/>
  <c r="Q39" i="5"/>
  <c r="P39" i="5"/>
  <c r="O39" i="5"/>
  <c r="N39" i="5"/>
  <c r="M39" i="5"/>
  <c r="L39" i="5"/>
  <c r="K39" i="5"/>
  <c r="J39" i="5"/>
  <c r="I39" i="5"/>
  <c r="H39" i="5"/>
  <c r="G39" i="5"/>
  <c r="F39" i="5"/>
  <c r="E39" i="5"/>
  <c r="D39" i="5"/>
  <c r="C39" i="5"/>
  <c r="C2" i="5"/>
  <c r="C1" i="5"/>
  <c r="R6" i="5"/>
  <c r="Q6" i="5"/>
  <c r="P6" i="5"/>
  <c r="O6" i="5"/>
  <c r="N6" i="5"/>
  <c r="M6" i="5"/>
  <c r="L6" i="5"/>
  <c r="K6" i="5"/>
  <c r="J6" i="5"/>
  <c r="I6" i="5"/>
  <c r="H6" i="5"/>
  <c r="G6" i="5"/>
  <c r="F6" i="5"/>
  <c r="E6" i="5"/>
  <c r="D6" i="5"/>
  <c r="C6" i="5"/>
  <c r="A6" i="5"/>
  <c r="C42" i="4"/>
  <c r="C41" i="4"/>
  <c r="C40" i="4"/>
  <c r="C39" i="4"/>
  <c r="C38" i="4"/>
  <c r="C37" i="4"/>
  <c r="C36" i="4"/>
  <c r="C35" i="4"/>
  <c r="C34" i="4"/>
  <c r="C33" i="4"/>
  <c r="C32" i="4"/>
  <c r="C31" i="4"/>
  <c r="C30" i="4"/>
  <c r="C29" i="4"/>
  <c r="C28" i="4"/>
  <c r="C27" i="4"/>
  <c r="C26" i="4"/>
  <c r="D26" i="4" s="1"/>
  <c r="K8" i="5" s="1"/>
  <c r="B23" i="4"/>
  <c r="K5" i="5" s="1"/>
  <c r="C7" i="1"/>
  <c r="D7" i="1"/>
  <c r="E7" i="1"/>
  <c r="F7" i="1"/>
  <c r="D34" i="5" l="1"/>
  <c r="C33" i="5"/>
  <c r="C35" i="5"/>
  <c r="D32" i="5"/>
  <c r="C31" i="5"/>
  <c r="D35" i="5"/>
  <c r="C34" i="5"/>
  <c r="D31" i="5"/>
  <c r="D29" i="5"/>
  <c r="C29" i="5"/>
  <c r="C32" i="5"/>
  <c r="D33" i="5"/>
  <c r="C26" i="5"/>
  <c r="D30" i="4"/>
  <c r="K12" i="5" s="1"/>
  <c r="L12" i="5" s="1"/>
  <c r="D34" i="4"/>
  <c r="K16" i="5" s="1"/>
  <c r="L16" i="5" s="1"/>
  <c r="D27" i="4"/>
  <c r="K9" i="5" s="1"/>
  <c r="L9" i="5" s="1"/>
  <c r="D39" i="4"/>
  <c r="K21" i="5" s="1"/>
  <c r="L21" i="5" s="1"/>
  <c r="D36" i="4"/>
  <c r="K18" i="5" s="1"/>
  <c r="L18" i="5" s="1"/>
  <c r="D40" i="4"/>
  <c r="K22" i="5" s="1"/>
  <c r="L22" i="5" s="1"/>
  <c r="D33" i="4"/>
  <c r="K15" i="5" s="1"/>
  <c r="L15" i="5" s="1"/>
  <c r="D37" i="4"/>
  <c r="K19" i="5" s="1"/>
  <c r="L19" i="5" s="1"/>
  <c r="D28" i="4"/>
  <c r="K10" i="5" s="1"/>
  <c r="L10" i="5" s="1"/>
  <c r="D31" i="4"/>
  <c r="K13" i="5" s="1"/>
  <c r="L13" i="5" s="1"/>
  <c r="D38" i="4"/>
  <c r="K20" i="5" s="1"/>
  <c r="L20" i="5" s="1"/>
  <c r="D41" i="4"/>
  <c r="K23" i="5" s="1"/>
  <c r="L23" i="5" s="1"/>
  <c r="D29" i="4"/>
  <c r="K11" i="5" s="1"/>
  <c r="L11" i="5" s="1"/>
  <c r="D32" i="4"/>
  <c r="K14" i="5" s="1"/>
  <c r="L14" i="5" s="1"/>
  <c r="D35" i="4"/>
  <c r="K17" i="5" s="1"/>
  <c r="L17" i="5" s="1"/>
  <c r="D42" i="4"/>
  <c r="K24" i="5" s="1"/>
  <c r="L24" i="5" s="1"/>
  <c r="K25" i="5" l="1"/>
  <c r="K26" i="5" s="1"/>
  <c r="K27" i="5" s="1"/>
  <c r="L27" i="5" s="1"/>
  <c r="E29" i="5"/>
  <c r="B31" i="5" s="1"/>
  <c r="L26" i="5" l="1"/>
  <c r="L25" i="5"/>
  <c r="B34" i="5"/>
  <c r="B35" i="5"/>
  <c r="B32" i="5"/>
  <c r="B33" i="5"/>
  <c r="B9" i="5" l="1"/>
  <c r="E9" i="5" s="1"/>
  <c r="B13" i="5"/>
  <c r="E13" i="5" s="1"/>
  <c r="B17" i="5"/>
  <c r="E17" i="5" s="1"/>
  <c r="B21" i="5"/>
  <c r="E21" i="5" s="1"/>
  <c r="B10" i="5"/>
  <c r="E10" i="5" s="1"/>
  <c r="B14" i="5"/>
  <c r="E14" i="5" s="1"/>
  <c r="B18" i="5"/>
  <c r="E18" i="5" s="1"/>
  <c r="B22" i="5"/>
  <c r="E22" i="5" s="1"/>
  <c r="B11" i="5"/>
  <c r="E11" i="5" s="1"/>
  <c r="B15" i="5"/>
  <c r="E15" i="5" s="1"/>
  <c r="B19" i="5"/>
  <c r="E19" i="5" s="1"/>
  <c r="B23" i="5"/>
  <c r="E23" i="5" s="1"/>
  <c r="B8" i="5"/>
  <c r="E8" i="5" s="1"/>
  <c r="B12" i="5"/>
  <c r="E12" i="5" s="1"/>
  <c r="B16" i="5"/>
  <c r="E16" i="5" s="1"/>
  <c r="B20" i="5"/>
  <c r="E20" i="5" s="1"/>
  <c r="B24" i="5"/>
  <c r="E24" i="5" s="1"/>
  <c r="P27" i="1"/>
  <c r="E27" i="1" l="1"/>
  <c r="F27" i="1"/>
  <c r="A25" i="1"/>
  <c r="B24" i="1"/>
  <c r="A24" i="1"/>
  <c r="B23" i="1"/>
  <c r="A23" i="1"/>
  <c r="B22" i="1"/>
  <c r="A22" i="1"/>
  <c r="B21" i="1"/>
  <c r="A21" i="1"/>
  <c r="J8" i="1"/>
  <c r="B7" i="1"/>
  <c r="G7" i="1"/>
  <c r="H7" i="1"/>
  <c r="I7" i="1"/>
  <c r="J7" i="1"/>
  <c r="K7" i="1"/>
  <c r="L7" i="1"/>
  <c r="A7" i="1"/>
  <c r="D27" i="1"/>
  <c r="C27" i="1"/>
  <c r="J23" i="1" l="1"/>
  <c r="J16" i="1"/>
  <c r="J12" i="1"/>
  <c r="J19" i="1"/>
  <c r="J17" i="1"/>
  <c r="J15" i="1"/>
  <c r="J13" i="1"/>
  <c r="J11" i="1"/>
  <c r="J9" i="1"/>
  <c r="J18" i="1"/>
  <c r="J14" i="1"/>
  <c r="J10" i="1"/>
  <c r="G8" i="1"/>
  <c r="G18" i="1"/>
  <c r="G10" i="1"/>
  <c r="G14" i="1"/>
  <c r="G20" i="1"/>
  <c r="G16" i="1"/>
  <c r="G12" i="1"/>
  <c r="G27" i="1"/>
  <c r="G19" i="1"/>
  <c r="G17" i="1"/>
  <c r="G15" i="1"/>
  <c r="G13" i="1"/>
  <c r="G11" i="1"/>
  <c r="G9" i="1"/>
  <c r="G22" i="1" l="1"/>
  <c r="G21" i="1"/>
  <c r="J20" i="1"/>
  <c r="G25" i="1"/>
  <c r="H25" i="1" s="1"/>
  <c r="G24" i="1"/>
  <c r="J22" i="1"/>
  <c r="G23" i="1"/>
  <c r="J21" i="1"/>
  <c r="J24" i="1"/>
  <c r="H24" i="1" l="1"/>
  <c r="I24" i="1" s="1"/>
  <c r="L24" i="1" s="1"/>
  <c r="H23" i="1" l="1"/>
  <c r="I23" i="1" s="1"/>
  <c r="H22" i="1" l="1"/>
  <c r="I22" i="1" s="1"/>
  <c r="H21" i="1" l="1"/>
  <c r="I21" i="1" s="1"/>
  <c r="K24" i="1" l="1"/>
  <c r="L23" i="1" l="1"/>
  <c r="K23" i="1"/>
  <c r="L22" i="1" l="1"/>
  <c r="K22" i="1"/>
  <c r="H20" i="1"/>
  <c r="I20" i="1" s="1"/>
  <c r="K21" i="1" l="1"/>
  <c r="L21" i="1"/>
  <c r="H19" i="1"/>
  <c r="H18" i="1" l="1"/>
  <c r="I19" i="1"/>
  <c r="K20" i="1"/>
  <c r="L20" i="1"/>
  <c r="K19" i="1" l="1"/>
  <c r="L19" i="1"/>
  <c r="H17" i="1"/>
  <c r="I18" i="1"/>
  <c r="L18" i="1" l="1"/>
  <c r="K18" i="1"/>
  <c r="H16" i="1"/>
  <c r="I17" i="1"/>
  <c r="K17" i="1" l="1"/>
  <c r="L17" i="1"/>
  <c r="H15" i="1"/>
  <c r="I16" i="1"/>
  <c r="L16" i="1" l="1"/>
  <c r="K16" i="1"/>
  <c r="H14" i="1"/>
  <c r="I15" i="1"/>
  <c r="K15" i="1" l="1"/>
  <c r="L15" i="1"/>
  <c r="H13" i="1"/>
  <c r="I14" i="1"/>
  <c r="L14" i="1" l="1"/>
  <c r="K14" i="1"/>
  <c r="H12" i="1"/>
  <c r="I13" i="1"/>
  <c r="K13" i="1" l="1"/>
  <c r="L13" i="1"/>
  <c r="H11" i="1"/>
  <c r="I12" i="1"/>
  <c r="L12" i="1" l="1"/>
  <c r="K12" i="1"/>
  <c r="H10" i="1"/>
  <c r="I11" i="1"/>
  <c r="K11" i="1" l="1"/>
  <c r="L11" i="1"/>
  <c r="Q28" i="1" s="1"/>
  <c r="H9" i="1"/>
  <c r="I9" i="1" s="1"/>
  <c r="I10" i="1"/>
  <c r="P28" i="1"/>
  <c r="D22" i="5" l="1"/>
  <c r="D21" i="5"/>
  <c r="D24" i="5"/>
  <c r="A24" i="5" s="1"/>
  <c r="D20" i="5"/>
  <c r="D23" i="5"/>
  <c r="D9" i="5"/>
  <c r="D11" i="5"/>
  <c r="D15" i="5"/>
  <c r="D19" i="5"/>
  <c r="D12" i="5"/>
  <c r="D16" i="5"/>
  <c r="D13" i="5"/>
  <c r="D17" i="5"/>
  <c r="D10" i="5"/>
  <c r="D14" i="5"/>
  <c r="D18" i="5"/>
  <c r="D8" i="5"/>
  <c r="K9" i="1"/>
  <c r="L9" i="1"/>
  <c r="K10" i="1"/>
  <c r="L10" i="1"/>
  <c r="P29" i="1"/>
  <c r="P30" i="1"/>
  <c r="M3" i="1"/>
  <c r="A22" i="5" l="1"/>
  <c r="A21" i="5"/>
  <c r="F23" i="5"/>
  <c r="A23" i="5"/>
  <c r="A20" i="5"/>
  <c r="F24" i="5"/>
  <c r="H23" i="5"/>
  <c r="F19" i="5"/>
  <c r="H19" i="5" s="1"/>
  <c r="F17" i="5"/>
  <c r="H17" i="5" s="1"/>
  <c r="F15" i="5"/>
  <c r="H15" i="5" s="1"/>
  <c r="F13" i="5"/>
  <c r="H13" i="5" s="1"/>
  <c r="F11" i="5"/>
  <c r="H11" i="5" s="1"/>
  <c r="F9" i="5"/>
  <c r="H9" i="5" s="1"/>
  <c r="F21" i="5"/>
  <c r="H21" i="5" s="1"/>
  <c r="F20" i="5"/>
  <c r="H20" i="5" s="1"/>
  <c r="F22" i="5"/>
  <c r="H22" i="5" s="1"/>
  <c r="F18" i="5"/>
  <c r="H18" i="5" s="1"/>
  <c r="F16" i="5"/>
  <c r="H16" i="5" s="1"/>
  <c r="F14" i="5"/>
  <c r="H14" i="5" s="1"/>
  <c r="F12" i="5"/>
  <c r="H12" i="5" s="1"/>
  <c r="F10" i="5"/>
  <c r="H10" i="5" s="1"/>
  <c r="D26" i="5" l="1"/>
  <c r="F8" i="5"/>
  <c r="H8" i="5" s="1"/>
  <c r="I9" i="5" s="1"/>
  <c r="J9" i="5" l="1"/>
  <c r="I10" i="5"/>
  <c r="I11" i="5" l="1"/>
  <c r="J10" i="5"/>
  <c r="J11" i="5" l="1"/>
  <c r="I12" i="5"/>
  <c r="I13" i="5" l="1"/>
  <c r="J12" i="5"/>
  <c r="J13" i="5" l="1"/>
  <c r="I14" i="5"/>
  <c r="I15" i="5" l="1"/>
  <c r="J14" i="5"/>
  <c r="J15" i="5" l="1"/>
  <c r="I16" i="5"/>
  <c r="I17" i="5" l="1"/>
  <c r="J16" i="5"/>
  <c r="I18" i="5" l="1"/>
  <c r="J17" i="5"/>
  <c r="I19" i="5" l="1"/>
  <c r="J18" i="5"/>
  <c r="I20" i="5" l="1"/>
  <c r="J19" i="5"/>
  <c r="J20" i="5" l="1"/>
  <c r="I21" i="5"/>
  <c r="J21" i="5" l="1"/>
  <c r="I22" i="5"/>
  <c r="I23" i="5" l="1"/>
  <c r="J22" i="5"/>
  <c r="I24" i="5" l="1"/>
  <c r="J23" i="5"/>
  <c r="I25" i="5" l="1"/>
  <c r="J25" i="5" s="1"/>
  <c r="J24" i="5"/>
  <c r="N2" i="5"/>
  <c r="N3" i="5"/>
  <c r="M12" i="5" l="1"/>
  <c r="N12" i="5" s="1"/>
  <c r="M16" i="5"/>
  <c r="N16" i="5" s="1"/>
  <c r="M20" i="5"/>
  <c r="N20" i="5" s="1"/>
  <c r="M18" i="5"/>
  <c r="N18" i="5" s="1"/>
  <c r="M11" i="5"/>
  <c r="N11" i="5" s="1"/>
  <c r="M15" i="5"/>
  <c r="N15" i="5" s="1"/>
  <c r="M23" i="5"/>
  <c r="N23" i="5" s="1"/>
  <c r="M25" i="5"/>
  <c r="N25" i="5" s="1"/>
  <c r="M9" i="5"/>
  <c r="N9" i="5" s="1"/>
  <c r="M26" i="5"/>
  <c r="N26" i="5" s="1"/>
  <c r="M13" i="5"/>
  <c r="N13" i="5" s="1"/>
  <c r="M17" i="5"/>
  <c r="N17" i="5" s="1"/>
  <c r="M21" i="5"/>
  <c r="N21" i="5" s="1"/>
  <c r="M19" i="5"/>
  <c r="N19" i="5" s="1"/>
  <c r="M10" i="5"/>
  <c r="N10" i="5" s="1"/>
  <c r="M14" i="5"/>
  <c r="N14" i="5" s="1"/>
  <c r="M22" i="5"/>
  <c r="N22" i="5" s="1"/>
  <c r="M24" i="5"/>
  <c r="N24" i="5" s="1"/>
  <c r="M27" i="5"/>
  <c r="N27" i="5" s="1"/>
  <c r="O27" i="5" s="1"/>
  <c r="Q15" i="5" l="1"/>
  <c r="Q14" i="5"/>
  <c r="Q18" i="5"/>
  <c r="O26" i="5"/>
  <c r="O25" i="5" s="1"/>
  <c r="Q11" i="5"/>
  <c r="Q22" i="5"/>
  <c r="Q10" i="5"/>
  <c r="Q13" i="5"/>
  <c r="Q23" i="5"/>
  <c r="Q20" i="5"/>
  <c r="P3" i="5"/>
  <c r="Q17" i="5"/>
  <c r="Q24" i="5"/>
  <c r="P2" i="5"/>
  <c r="Q19" i="5"/>
  <c r="Q16" i="5"/>
  <c r="Q21" i="5"/>
  <c r="Q8" i="5"/>
  <c r="Q9" i="5"/>
  <c r="Q12" i="5"/>
  <c r="O24" i="5" l="1"/>
  <c r="P25" i="5"/>
  <c r="Q25" i="5" s="1"/>
  <c r="P24" i="5" l="1"/>
  <c r="O23" i="5"/>
  <c r="O22" i="5" l="1"/>
  <c r="P23" i="5"/>
  <c r="O21" i="5" l="1"/>
  <c r="P22" i="5"/>
  <c r="O20" i="5" l="1"/>
  <c r="P21" i="5"/>
  <c r="P20" i="5" l="1"/>
  <c r="O19" i="5"/>
  <c r="P19" i="5" l="1"/>
  <c r="O18" i="5"/>
  <c r="P18" i="5" l="1"/>
  <c r="O17" i="5"/>
  <c r="O16" i="5" l="1"/>
  <c r="P17" i="5"/>
  <c r="O15" i="5" l="1"/>
  <c r="P16" i="5"/>
  <c r="P15" i="5" l="1"/>
  <c r="O14" i="5"/>
  <c r="O13" i="5" l="1"/>
  <c r="P14" i="5"/>
  <c r="O12" i="5" l="1"/>
  <c r="P13" i="5"/>
  <c r="P12" i="5" l="1"/>
  <c r="O11" i="5"/>
  <c r="P11" i="5" l="1"/>
  <c r="O10" i="5"/>
  <c r="O9" i="5" l="1"/>
  <c r="P10" i="5"/>
  <c r="O8" i="5" l="1"/>
  <c r="P8" i="5" s="1"/>
  <c r="P9" i="5"/>
</calcChain>
</file>

<file path=xl/comments1.xml><?xml version="1.0" encoding="utf-8"?>
<comments xmlns="http://schemas.openxmlformats.org/spreadsheetml/2006/main">
  <authors>
    <author>Rob Dorrrington</author>
  </authors>
  <commentList>
    <comment ref="O1" authorId="0">
      <text>
        <r>
          <rPr>
            <b/>
            <sz val="12"/>
            <color indexed="81"/>
            <rFont val="Tahoma"/>
            <family val="2"/>
          </rPr>
          <t>Ces valeurs ne sont valides que si la table-type utilisée pour lisser les taux de mortalité (colone K) est appropriée. On peut voir si une table-type est  appropriée lorsque la plupart des points correspondant à l'ajustement graphique sont alignés (voir le graphique de droite). Dans le cas présenté ici, cette table-type est surtout destinée à estimer les espérance de vie de 65 à 85 ans: e(65) à e(85).</t>
        </r>
      </text>
    </comment>
  </commentList>
</comments>
</file>

<file path=xl/sharedStrings.xml><?xml version="1.0" encoding="utf-8"?>
<sst xmlns="http://schemas.openxmlformats.org/spreadsheetml/2006/main" count="172" uniqueCount="139">
  <si>
    <t>x</t>
  </si>
  <si>
    <t>Age</t>
  </si>
  <si>
    <t>Alpha  =</t>
  </si>
  <si>
    <t>45q15 =</t>
  </si>
  <si>
    <t>Beta   =</t>
  </si>
  <si>
    <t>35q15 =</t>
  </si>
  <si>
    <t>0- 4</t>
  </si>
  <si>
    <t>5- 9</t>
  </si>
  <si>
    <t>10-14</t>
  </si>
  <si>
    <t>15-19</t>
  </si>
  <si>
    <t>20-24</t>
  </si>
  <si>
    <t>25-29</t>
  </si>
  <si>
    <t>30-34</t>
  </si>
  <si>
    <t>35-39</t>
  </si>
  <si>
    <t>40-44</t>
  </si>
  <si>
    <t>45-49</t>
  </si>
  <si>
    <t>50-54</t>
  </si>
  <si>
    <t>55-59</t>
  </si>
  <si>
    <t>60-64</t>
  </si>
  <si>
    <t>`</t>
  </si>
  <si>
    <t>Total</t>
  </si>
  <si>
    <t>avdevN(x+)</t>
  </si>
  <si>
    <t>Sum 15+</t>
  </si>
  <si>
    <t>Level</t>
  </si>
  <si>
    <t>Ratio</t>
  </si>
  <si>
    <t>e(65)</t>
  </si>
  <si>
    <t>e(70)</t>
  </si>
  <si>
    <t>e(75)</t>
  </si>
  <si>
    <t>e(80)</t>
  </si>
  <si>
    <t>e(85)</t>
  </si>
  <si>
    <t>A</t>
  </si>
  <si>
    <r>
      <rPr>
        <i/>
        <sz val="10"/>
        <rFont val="Arial"/>
        <family val="2"/>
      </rPr>
      <t>e</t>
    </r>
    <r>
      <rPr>
        <sz val="10"/>
        <rFont val="Arial"/>
        <family val="2"/>
      </rPr>
      <t>(</t>
    </r>
    <r>
      <rPr>
        <i/>
        <sz val="10"/>
        <rFont val="Arial"/>
        <family val="2"/>
      </rPr>
      <t>A</t>
    </r>
    <r>
      <rPr>
        <sz val="10"/>
        <rFont val="Arial"/>
        <family val="2"/>
      </rPr>
      <t>)</t>
    </r>
  </si>
  <si>
    <t>Application</t>
  </si>
  <si>
    <r>
      <rPr>
        <b/>
        <i/>
        <sz val="11"/>
        <rFont val="Arial"/>
        <family val="2"/>
      </rPr>
      <t>e</t>
    </r>
    <r>
      <rPr>
        <b/>
        <vertAlign val="subscript"/>
        <sz val="11"/>
        <rFont val="Arial"/>
        <family val="2"/>
      </rPr>
      <t>0</t>
    </r>
    <r>
      <rPr>
        <b/>
        <sz val="11"/>
        <rFont val="Arial"/>
        <family val="2"/>
      </rPr>
      <t xml:space="preserve"> = 60</t>
    </r>
  </si>
  <si>
    <t>Standard</t>
  </si>
  <si>
    <r>
      <rPr>
        <b/>
        <i/>
        <sz val="11"/>
        <rFont val="Arial"/>
        <family val="2"/>
      </rPr>
      <t>Y</t>
    </r>
    <r>
      <rPr>
        <b/>
        <vertAlign val="subscript"/>
        <sz val="11"/>
        <rFont val="Arial"/>
        <family val="2"/>
      </rPr>
      <t>s</t>
    </r>
    <r>
      <rPr>
        <b/>
        <sz val="11"/>
        <rFont val="Arial"/>
        <family val="2"/>
      </rPr>
      <t>(</t>
    </r>
    <r>
      <rPr>
        <b/>
        <i/>
        <sz val="11"/>
        <rFont val="Arial"/>
        <family val="2"/>
      </rPr>
      <t>x</t>
    </r>
    <r>
      <rPr>
        <b/>
        <sz val="11"/>
        <rFont val="Arial"/>
        <family val="2"/>
      </rPr>
      <t>)</t>
    </r>
  </si>
  <si>
    <r>
      <rPr>
        <b/>
        <i/>
        <sz val="12"/>
        <rFont val="Arial"/>
        <family val="2"/>
      </rPr>
      <t>l</t>
    </r>
    <r>
      <rPr>
        <b/>
        <sz val="11"/>
        <rFont val="Arial"/>
        <family val="2"/>
      </rPr>
      <t>(</t>
    </r>
    <r>
      <rPr>
        <b/>
        <i/>
        <sz val="11"/>
        <rFont val="Arial"/>
        <family val="2"/>
      </rPr>
      <t>x</t>
    </r>
    <r>
      <rPr>
        <b/>
        <sz val="11"/>
        <rFont val="Arial"/>
        <family val="2"/>
      </rPr>
      <t>)</t>
    </r>
  </si>
  <si>
    <r>
      <rPr>
        <b/>
        <vertAlign val="subscript"/>
        <sz val="10"/>
        <rFont val="Arial"/>
        <family val="2"/>
      </rPr>
      <t>5</t>
    </r>
    <r>
      <rPr>
        <b/>
        <i/>
        <sz val="10"/>
        <rFont val="Arial"/>
        <family val="2"/>
      </rPr>
      <t>q</t>
    </r>
    <r>
      <rPr>
        <b/>
        <i/>
        <vertAlign val="subscript"/>
        <sz val="10"/>
        <rFont val="Arial"/>
        <family val="2"/>
      </rPr>
      <t>x</t>
    </r>
  </si>
  <si>
    <r>
      <rPr>
        <b/>
        <i/>
        <sz val="10"/>
        <rFont val="Arial"/>
        <family val="2"/>
      </rPr>
      <t>l</t>
    </r>
    <r>
      <rPr>
        <b/>
        <i/>
        <vertAlign val="subscript"/>
        <sz val="10"/>
        <rFont val="Arial"/>
        <family val="2"/>
      </rPr>
      <t>x</t>
    </r>
    <r>
      <rPr>
        <b/>
        <sz val="10"/>
        <rFont val="Arial"/>
        <family val="2"/>
      </rPr>
      <t>/</t>
    </r>
    <r>
      <rPr>
        <b/>
        <i/>
        <sz val="10"/>
        <rFont val="Arial"/>
        <family val="2"/>
      </rPr>
      <t>l</t>
    </r>
    <r>
      <rPr>
        <b/>
        <vertAlign val="subscript"/>
        <sz val="10"/>
        <rFont val="Arial"/>
        <family val="2"/>
      </rPr>
      <t>5</t>
    </r>
  </si>
  <si>
    <r>
      <t xml:space="preserve">Obs. </t>
    </r>
    <r>
      <rPr>
        <b/>
        <i/>
        <sz val="10"/>
        <rFont val="Arial"/>
        <family val="2"/>
      </rPr>
      <t>Y</t>
    </r>
    <r>
      <rPr>
        <b/>
        <sz val="10"/>
        <rFont val="Arial"/>
        <family val="2"/>
      </rPr>
      <t>(</t>
    </r>
    <r>
      <rPr>
        <b/>
        <i/>
        <sz val="10"/>
        <rFont val="Arial"/>
        <family val="2"/>
      </rPr>
      <t>x</t>
    </r>
    <r>
      <rPr>
        <b/>
        <sz val="10"/>
        <rFont val="Arial"/>
        <family val="2"/>
      </rPr>
      <t>)</t>
    </r>
  </si>
  <si>
    <r>
      <t xml:space="preserve">Cdn. </t>
    </r>
    <r>
      <rPr>
        <b/>
        <i/>
        <sz val="10"/>
        <rFont val="Arial"/>
        <family val="2"/>
      </rPr>
      <t>Ys</t>
    </r>
    <r>
      <rPr>
        <b/>
        <sz val="10"/>
        <rFont val="Arial"/>
        <family val="2"/>
      </rPr>
      <t>(</t>
    </r>
    <r>
      <rPr>
        <b/>
        <i/>
        <sz val="10"/>
        <rFont val="Arial"/>
        <family val="2"/>
      </rPr>
      <t>x</t>
    </r>
    <r>
      <rPr>
        <b/>
        <sz val="10"/>
        <rFont val="Arial"/>
        <family val="2"/>
      </rPr>
      <t>)</t>
    </r>
  </si>
  <si>
    <r>
      <rPr>
        <b/>
        <i/>
        <sz val="10"/>
        <rFont val="Arial"/>
        <family val="2"/>
      </rPr>
      <t>T</t>
    </r>
    <r>
      <rPr>
        <b/>
        <sz val="10"/>
        <rFont val="Arial"/>
        <family val="2"/>
      </rPr>
      <t>(</t>
    </r>
    <r>
      <rPr>
        <b/>
        <i/>
        <sz val="10"/>
        <rFont val="Arial"/>
        <family val="2"/>
      </rPr>
      <t>x</t>
    </r>
    <r>
      <rPr>
        <b/>
        <sz val="10"/>
        <rFont val="Arial"/>
        <family val="2"/>
      </rPr>
      <t>)</t>
    </r>
  </si>
  <si>
    <r>
      <rPr>
        <b/>
        <i/>
        <sz val="10"/>
        <rFont val="Arial"/>
        <family val="2"/>
      </rPr>
      <t>e</t>
    </r>
    <r>
      <rPr>
        <b/>
        <sz val="10"/>
        <rFont val="Arial"/>
        <family val="2"/>
      </rPr>
      <t>(</t>
    </r>
    <r>
      <rPr>
        <b/>
        <i/>
        <sz val="10"/>
        <rFont val="Arial"/>
        <family val="2"/>
      </rPr>
      <t>x</t>
    </r>
    <r>
      <rPr>
        <b/>
        <sz val="10"/>
        <rFont val="Arial"/>
        <family val="2"/>
      </rPr>
      <t>)</t>
    </r>
  </si>
  <si>
    <t xml:space="preserve">     0-4</t>
  </si>
  <si>
    <t xml:space="preserve">     5-9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</si>
  <si>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</si>
  <si>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</si>
  <si>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</si>
  <si>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</si>
  <si>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</si>
  <si>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</si>
  <si>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</si>
  <si>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</si>
  <si>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</si>
  <si>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</si>
  <si>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</si>
  <si>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1</t>
    </r>
    <r>
      <rPr>
        <b/>
        <sz val="10"/>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</si>
  <si>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2</t>
    </r>
    <r>
      <rPr>
        <b/>
        <sz val="10"/>
        <rFont val="Arial"/>
        <family val="2"/>
      </rPr>
      <t>)</t>
    </r>
  </si>
  <si>
    <r>
      <t>5</t>
    </r>
    <r>
      <rPr>
        <b/>
        <i/>
        <sz val="10"/>
        <rFont val="Arial"/>
        <family val="2"/>
      </rPr>
      <t>D</t>
    </r>
    <r>
      <rPr>
        <b/>
        <i/>
        <vertAlign val="subscript"/>
        <sz val="10"/>
        <rFont val="Arial"/>
        <family val="2"/>
      </rPr>
      <t>x</t>
    </r>
  </si>
  <si>
    <r>
      <t>5</t>
    </r>
    <r>
      <rPr>
        <b/>
        <i/>
        <sz val="10"/>
        <rFont val="Arial"/>
        <family val="2"/>
      </rPr>
      <t>NM</t>
    </r>
    <r>
      <rPr>
        <b/>
        <i/>
        <vertAlign val="subscript"/>
        <sz val="10"/>
        <rFont val="Arial"/>
        <family val="2"/>
      </rPr>
      <t>x</t>
    </r>
  </si>
  <si>
    <r>
      <t>5</t>
    </r>
    <r>
      <rPr>
        <b/>
        <i/>
        <sz val="10"/>
        <rFont val="Arial"/>
        <family val="2"/>
      </rPr>
      <t>r</t>
    </r>
    <r>
      <rPr>
        <b/>
        <i/>
        <vertAlign val="subscript"/>
        <sz val="10"/>
        <rFont val="Arial"/>
        <family val="2"/>
      </rPr>
      <t>x</t>
    </r>
  </si>
  <si>
    <r>
      <t xml:space="preserve">Est </t>
    </r>
    <r>
      <rPr>
        <b/>
        <i/>
        <sz val="10"/>
        <rFont val="Arial"/>
        <family val="2"/>
      </rPr>
      <t>N</t>
    </r>
    <r>
      <rPr>
        <b/>
        <i/>
        <vertAlign val="subscript"/>
        <sz val="10"/>
        <rFont val="Arial"/>
        <family val="2"/>
      </rPr>
      <t>x</t>
    </r>
  </si>
  <si>
    <r>
      <t xml:space="preserve">Est </t>
    </r>
    <r>
      <rPr>
        <b/>
        <vertAlign val="subscript"/>
        <sz val="10"/>
        <rFont val="Arial"/>
        <family val="2"/>
      </rPr>
      <t>5</t>
    </r>
    <r>
      <rPr>
        <b/>
        <i/>
        <sz val="10"/>
        <rFont val="Arial"/>
        <family val="2"/>
      </rPr>
      <t>N</t>
    </r>
    <r>
      <rPr>
        <b/>
        <i/>
        <vertAlign val="subscript"/>
        <sz val="10"/>
        <rFont val="Arial"/>
        <family val="2"/>
      </rPr>
      <t>x</t>
    </r>
  </si>
  <si>
    <r>
      <t xml:space="preserve">Obs </t>
    </r>
    <r>
      <rPr>
        <b/>
        <vertAlign val="subscript"/>
        <sz val="10"/>
        <rFont val="Arial"/>
        <family val="2"/>
      </rPr>
      <t>5</t>
    </r>
    <r>
      <rPr>
        <b/>
        <i/>
        <sz val="10"/>
        <rFont val="Arial"/>
        <family val="2"/>
      </rPr>
      <t>N</t>
    </r>
    <r>
      <rPr>
        <b/>
        <i/>
        <vertAlign val="subscript"/>
        <sz val="10"/>
        <rFont val="Arial"/>
        <family val="2"/>
      </rPr>
      <t>x</t>
    </r>
  </si>
  <si>
    <r>
      <rPr>
        <b/>
        <i/>
        <sz val="10"/>
        <rFont val="Arial"/>
        <family val="2"/>
      </rPr>
      <t>c</t>
    </r>
    <r>
      <rPr>
        <b/>
        <sz val="10"/>
        <rFont val="Arial"/>
        <family val="2"/>
      </rPr>
      <t xml:space="preserve">: </t>
    </r>
    <r>
      <rPr>
        <b/>
        <vertAlign val="subscript"/>
        <sz val="10"/>
        <rFont val="Arial"/>
        <family val="2"/>
      </rPr>
      <t>5</t>
    </r>
    <r>
      <rPr>
        <b/>
        <i/>
        <sz val="10"/>
        <rFont val="Arial"/>
        <family val="2"/>
      </rPr>
      <t>N</t>
    </r>
    <r>
      <rPr>
        <b/>
        <i/>
        <vertAlign val="subscript"/>
        <sz val="10"/>
        <rFont val="Arial"/>
        <family val="2"/>
      </rPr>
      <t>x</t>
    </r>
  </si>
  <si>
    <r>
      <rPr>
        <b/>
        <i/>
        <sz val="10"/>
        <rFont val="Arial"/>
        <family val="2"/>
      </rPr>
      <t>c</t>
    </r>
    <r>
      <rPr>
        <b/>
        <sz val="10"/>
        <rFont val="Arial"/>
        <family val="2"/>
      </rPr>
      <t xml:space="preserve">: </t>
    </r>
    <r>
      <rPr>
        <b/>
        <vertAlign val="subscript"/>
        <sz val="10"/>
        <rFont val="Arial"/>
        <family val="2"/>
      </rPr>
      <t>A-x</t>
    </r>
    <r>
      <rPr>
        <b/>
        <i/>
        <sz val="10"/>
        <rFont val="Arial"/>
        <family val="2"/>
      </rPr>
      <t>N</t>
    </r>
    <r>
      <rPr>
        <b/>
        <i/>
        <vertAlign val="subscript"/>
        <sz val="10"/>
        <rFont val="Arial"/>
        <family val="2"/>
      </rPr>
      <t>x</t>
    </r>
  </si>
  <si>
    <r>
      <rPr>
        <i/>
        <sz val="10"/>
        <rFont val="Arial"/>
        <family val="2"/>
      </rPr>
      <t>A</t>
    </r>
    <r>
      <rPr>
        <sz val="10"/>
        <rFont val="Arial"/>
        <family val="2"/>
      </rPr>
      <t>+</t>
    </r>
  </si>
  <si>
    <t>Yes</t>
  </si>
  <si>
    <r>
      <rPr>
        <vertAlign val="subscript"/>
        <sz val="10"/>
        <color theme="1"/>
        <rFont val="Arial"/>
        <family val="2"/>
      </rPr>
      <t>30</t>
    </r>
    <r>
      <rPr>
        <i/>
        <sz val="10"/>
        <color theme="1"/>
        <rFont val="Arial"/>
        <family val="2"/>
      </rPr>
      <t>D</t>
    </r>
    <r>
      <rPr>
        <vertAlign val="subscript"/>
        <sz val="10"/>
        <color theme="1"/>
        <rFont val="Arial"/>
        <family val="2"/>
      </rPr>
      <t>10</t>
    </r>
    <r>
      <rPr>
        <sz val="10"/>
        <rFont val="Arial"/>
        <family val="2"/>
      </rPr>
      <t>/</t>
    </r>
    <r>
      <rPr>
        <vertAlign val="subscript"/>
        <sz val="10"/>
        <color theme="1"/>
        <rFont val="Arial"/>
        <family val="2"/>
      </rPr>
      <t>20</t>
    </r>
    <r>
      <rPr>
        <i/>
        <sz val="10"/>
        <color theme="1"/>
        <rFont val="Arial"/>
        <family val="2"/>
      </rPr>
      <t>D</t>
    </r>
    <r>
      <rPr>
        <vertAlign val="subscript"/>
        <sz val="10"/>
        <color theme="1"/>
        <rFont val="Arial"/>
        <family val="2"/>
      </rPr>
      <t>40</t>
    </r>
    <r>
      <rPr>
        <sz val="10"/>
        <rFont val="Arial"/>
        <family val="2"/>
      </rPr>
      <t xml:space="preserve"> =</t>
    </r>
  </si>
  <si>
    <t>Estimation de la mortalité adulte à l'aide de la méthode de l'extinction des cohortes synthétiques - Instructions</t>
  </si>
  <si>
    <t>Cette feuille de calcul permet d'estimer la complétude de l'enregistrement des décès d'adultes au cours d'une période intercensitaire, c'est à dire entre deux recensements. La feuille de calcul peut aussi s'utiliser pour estimer la complétude de l'enregistrement des décès au cours d'une période, lorqu'on ne dispose que d'un seul recensement, en supposant que la population est stable. La feuille de calcul permet aussi de  calculer les taux de mortalité corrigés du sous-enregistrement, et de lisser les taux de mortalité corrigés à l'aide d'une table-type de mortalité appropriée (c'est-à-dire qui possède un schéma par âge similaire à celui du pays analysé).</t>
  </si>
  <si>
    <r>
      <t xml:space="preserve">Entrer le nom du pays ou de la population dans la cellule </t>
    </r>
    <r>
      <rPr>
        <b/>
        <sz val="12"/>
        <rFont val="Arial"/>
        <family val="2"/>
      </rPr>
      <t>D9</t>
    </r>
  </si>
  <si>
    <t>Entrer le sexe de la population dans la cellule de droite</t>
  </si>
  <si>
    <t>Choisir le nom de la famille de tables-type de mortalité, qui servira de comparaison pour estimer les niveaux et tendances de la mortalité dans cette population. Utiliser le menu déroulant situé à droite de cette cellule.</t>
  </si>
  <si>
    <t>Entrer la date du premier recensement (AAAA/MM/JJ) dans la cellule de droite</t>
  </si>
  <si>
    <t>Entrer la date du second recensement (AAAA/MM/JJ) dans la cellule de droite</t>
  </si>
  <si>
    <r>
      <t xml:space="preserve">Effacer tous les nombres figurant dans les cellules </t>
    </r>
    <r>
      <rPr>
        <b/>
        <sz val="12"/>
        <rFont val="Arial"/>
        <family val="2"/>
      </rPr>
      <t>C8:F25</t>
    </r>
    <r>
      <rPr>
        <sz val="12"/>
        <rFont val="Arial"/>
        <family val="2"/>
      </rPr>
      <t xml:space="preserve"> dans la feuille </t>
    </r>
    <r>
      <rPr>
        <b/>
        <sz val="12"/>
        <rFont val="Arial"/>
        <family val="2"/>
      </rPr>
      <t>Méthode</t>
    </r>
  </si>
  <si>
    <r>
      <t xml:space="preserve">Déterminer l'espérance de vie à l'âge </t>
    </r>
    <r>
      <rPr>
        <i/>
        <sz val="12"/>
        <rFont val="Arial"/>
        <family val="2"/>
      </rPr>
      <t>A</t>
    </r>
    <r>
      <rPr>
        <sz val="12"/>
        <rFont val="Arial"/>
        <family val="2"/>
      </rPr>
      <t xml:space="preserve"> (l'âge du début de l'intervalle ouvert) et pour les âges de 5 ans en 5 ans jusqu'à 65 ans. Copier et coller ces valeurs dans les cellules </t>
    </r>
    <r>
      <rPr>
        <b/>
        <sz val="12"/>
        <rFont val="Arial"/>
        <family val="2"/>
      </rPr>
      <t>T28:T32</t>
    </r>
    <r>
      <rPr>
        <sz val="12"/>
        <rFont val="Arial"/>
        <family val="2"/>
      </rPr>
      <t xml:space="preserve"> de la feuille </t>
    </r>
    <r>
      <rPr>
        <b/>
        <i/>
        <sz val="12"/>
        <rFont val="Arial"/>
        <family val="2"/>
      </rPr>
      <t>Méthode</t>
    </r>
    <r>
      <rPr>
        <sz val="12"/>
        <rFont val="Arial"/>
        <family val="2"/>
      </rPr>
      <t xml:space="preserve">. Ces valeurs peuvent être prises dans les sources suivantes: </t>
    </r>
  </si>
  <si>
    <t>(a) Une source indépendante, telle que les Perspectives de Population de la Division de la Population des Nations Unies</t>
  </si>
  <si>
    <r>
      <t xml:space="preserve">(c) Sinon, utiliser les estimations provenant des cellules </t>
    </r>
    <r>
      <rPr>
        <b/>
        <sz val="12"/>
        <rFont val="Arial"/>
        <family val="2"/>
      </rPr>
      <t>P20:P24</t>
    </r>
    <r>
      <rPr>
        <sz val="12"/>
        <rFont val="Arial"/>
        <family val="2"/>
      </rPr>
      <t xml:space="preserve"> dans la feuille de calcul </t>
    </r>
    <r>
      <rPr>
        <b/>
        <i/>
        <sz val="12"/>
        <rFont val="Arial"/>
        <family val="2"/>
      </rPr>
      <t>Espérances de vie</t>
    </r>
    <r>
      <rPr>
        <sz val="12"/>
        <rFont val="Arial"/>
        <family val="2"/>
      </rPr>
      <t>. (Comme ces estimations proviennent des résultats, il faudra remplacer les estimations après avoir produit le première série d'estimations de la complétude, puis ré-estimer la complétude après la mise à jour de l'espérance de vie)</t>
    </r>
  </si>
  <si>
    <r>
      <t xml:space="preserve">Si la complétude ne semble pas baisser avec l'âge, estimer delta (cellule </t>
    </r>
    <r>
      <rPr>
        <b/>
        <sz val="12"/>
        <rFont val="Arial"/>
        <family val="2"/>
      </rPr>
      <t>M2</t>
    </r>
    <r>
      <rPr>
        <sz val="12"/>
        <rFont val="Arial"/>
        <family val="2"/>
      </rPr>
      <t xml:space="preserve">) par itération, à l'aide du module </t>
    </r>
    <r>
      <rPr>
        <b/>
        <sz val="12"/>
        <rFont val="Arial"/>
        <family val="2"/>
      </rPr>
      <t xml:space="preserve">Solveur </t>
    </r>
    <r>
      <rPr>
        <sz val="12"/>
        <rFont val="Arial"/>
        <family val="2"/>
      </rPr>
      <t xml:space="preserve">dans la feuille </t>
    </r>
    <r>
      <rPr>
        <b/>
        <i/>
        <sz val="12"/>
        <rFont val="Arial"/>
        <family val="2"/>
      </rPr>
      <t>Méthode</t>
    </r>
  </si>
  <si>
    <r>
      <t xml:space="preserve">Les estimations des taux de mortalité corrigés pour le sous-enregistrement des décès et la différence de couverture des recensements apparait dans les cellules </t>
    </r>
    <r>
      <rPr>
        <b/>
        <sz val="12"/>
        <rFont val="Arial"/>
        <family val="2"/>
      </rPr>
      <t>F8:F24</t>
    </r>
    <r>
      <rPr>
        <sz val="12"/>
        <rFont val="Arial"/>
        <family val="2"/>
      </rPr>
      <t xml:space="preserve"> de la feuille </t>
    </r>
    <r>
      <rPr>
        <b/>
        <i/>
        <sz val="12"/>
        <rFont val="Arial"/>
        <family val="2"/>
      </rPr>
      <t>Espérances de vie</t>
    </r>
    <r>
      <rPr>
        <sz val="12"/>
        <rFont val="Arial"/>
        <family val="2"/>
      </rPr>
      <t>.</t>
    </r>
  </si>
  <si>
    <r>
      <t xml:space="preserve">Les taux de mortalité lissés apparaissent dans les cellules </t>
    </r>
    <r>
      <rPr>
        <b/>
        <sz val="12"/>
        <rFont val="Arial"/>
        <family val="2"/>
      </rPr>
      <t xml:space="preserve">Q8:Q25 </t>
    </r>
    <r>
      <rPr>
        <sz val="12"/>
        <rFont val="Arial"/>
        <family val="2"/>
      </rPr>
      <t xml:space="preserve"> de la feuille </t>
    </r>
    <r>
      <rPr>
        <b/>
        <i/>
        <sz val="12"/>
        <rFont val="Arial"/>
        <family val="2"/>
      </rPr>
      <t>Espérances de vie.</t>
    </r>
  </si>
  <si>
    <t>Nom du pays / Population:</t>
  </si>
  <si>
    <t>Sexe:</t>
  </si>
  <si>
    <t>Table-type de référence</t>
  </si>
  <si>
    <t xml:space="preserve">Paramètres à entrer: </t>
  </si>
  <si>
    <t>Afrique du sud</t>
  </si>
  <si>
    <r>
      <t xml:space="preserve">Logits de la table-type de mortalité, </t>
    </r>
    <r>
      <rPr>
        <b/>
        <i/>
        <sz val="12"/>
        <rFont val="Arial"/>
        <family val="2"/>
      </rPr>
      <t>e</t>
    </r>
    <r>
      <rPr>
        <b/>
        <vertAlign val="subscript"/>
        <sz val="12"/>
        <rFont val="Arial"/>
        <family val="2"/>
      </rPr>
      <t>0</t>
    </r>
    <r>
      <rPr>
        <b/>
        <sz val="12"/>
        <rFont val="Arial"/>
        <family val="2"/>
      </rPr>
      <t>=60, femmes</t>
    </r>
  </si>
  <si>
    <r>
      <t>Femmes,</t>
    </r>
    <r>
      <rPr>
        <b/>
        <i/>
        <sz val="12"/>
        <rFont val="Arial Narrow"/>
        <family val="2"/>
      </rPr>
      <t xml:space="preserve"> e</t>
    </r>
    <r>
      <rPr>
        <b/>
        <vertAlign val="subscript"/>
        <sz val="12"/>
        <rFont val="Arial Narrow"/>
        <family val="2"/>
      </rPr>
      <t>0</t>
    </r>
    <r>
      <rPr>
        <b/>
        <sz val="12"/>
        <rFont val="Arial Narrow"/>
        <family val="2"/>
      </rPr>
      <t>=55</t>
    </r>
  </si>
  <si>
    <r>
      <t xml:space="preserve">Logits de la table-type de mortalité, </t>
    </r>
    <r>
      <rPr>
        <b/>
        <i/>
        <sz val="12"/>
        <rFont val="Arial"/>
        <family val="2"/>
      </rPr>
      <t>e</t>
    </r>
    <r>
      <rPr>
        <b/>
        <vertAlign val="subscript"/>
        <sz val="12"/>
        <rFont val="Arial"/>
        <family val="2"/>
      </rPr>
      <t>0</t>
    </r>
    <r>
      <rPr>
        <b/>
        <sz val="12"/>
        <rFont val="Arial"/>
        <family val="2"/>
      </rPr>
      <t>=60, hommes</t>
    </r>
  </si>
  <si>
    <r>
      <t xml:space="preserve">Hommes, </t>
    </r>
    <r>
      <rPr>
        <b/>
        <i/>
        <sz val="12"/>
        <rFont val="Arial Narrow"/>
        <family val="2"/>
      </rPr>
      <t>e</t>
    </r>
    <r>
      <rPr>
        <b/>
        <vertAlign val="subscript"/>
        <sz val="12"/>
        <rFont val="Arial Narrow"/>
        <family val="2"/>
      </rPr>
      <t>0</t>
    </r>
    <r>
      <rPr>
        <b/>
        <sz val="12"/>
        <rFont val="Arial Narrow"/>
        <family val="2"/>
      </rPr>
      <t>=50</t>
    </r>
  </si>
  <si>
    <t>Table de mortalité standard</t>
  </si>
  <si>
    <t>modifié</t>
  </si>
  <si>
    <t>Pays:</t>
  </si>
  <si>
    <t>Date moyenne de la période</t>
  </si>
  <si>
    <t xml:space="preserve">Duré de la période intercensitaire = </t>
  </si>
  <si>
    <t>Intervalle des âges choisi pour l'ajustement de la droite</t>
  </si>
  <si>
    <t>Age minimal</t>
  </si>
  <si>
    <t>Age maximal</t>
  </si>
  <si>
    <r>
      <rPr>
        <b/>
        <i/>
        <sz val="10"/>
        <rFont val="Arial"/>
        <family val="2"/>
      </rPr>
      <t>Médiane, C</t>
    </r>
    <r>
      <rPr>
        <sz val="10"/>
        <rFont val="Arial"/>
        <family val="2"/>
      </rPr>
      <t xml:space="preserve"> =</t>
    </r>
  </si>
  <si>
    <t>P 25% &lt;</t>
  </si>
  <si>
    <t>P 75% &lt;</t>
  </si>
  <si>
    <t>Intervalle des âges choisi pour calculer C</t>
  </si>
  <si>
    <t>Age minimal=</t>
  </si>
  <si>
    <t>Age maximal=</t>
  </si>
  <si>
    <t>Garder la complétude au délà de l'âge de 65 ans?</t>
  </si>
  <si>
    <t>Intervalle d'âge retenu</t>
  </si>
  <si>
    <t>Age de début:</t>
  </si>
  <si>
    <t>Age de fin:</t>
  </si>
  <si>
    <t>Avertissement</t>
  </si>
  <si>
    <r>
      <rPr>
        <b/>
        <sz val="10"/>
        <rFont val="Arial"/>
        <family val="2"/>
      </rPr>
      <t xml:space="preserve">Corrigé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vertAlign val="subscript"/>
        <sz val="10"/>
        <rFont val="Arial"/>
        <family val="2"/>
      </rPr>
      <t>1</t>
    </r>
    <r>
      <rPr>
        <b/>
        <sz val="10"/>
        <rFont val="Arial"/>
        <family val="2"/>
      </rPr>
      <t>)</t>
    </r>
  </si>
  <si>
    <r>
      <rPr>
        <b/>
        <sz val="10"/>
        <rFont val="Arial"/>
        <family val="2"/>
      </rPr>
      <t xml:space="preserve">Corrigé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vertAlign val="subscript"/>
        <sz val="10"/>
        <rFont val="Arial"/>
        <family val="2"/>
      </rPr>
      <t>2</t>
    </r>
    <r>
      <rPr>
        <b/>
        <sz val="10"/>
        <rFont val="Arial"/>
        <family val="2"/>
      </rPr>
      <t>)</t>
    </r>
  </si>
  <si>
    <r>
      <rPr>
        <b/>
        <sz val="10"/>
        <rFont val="Arial"/>
        <family val="2"/>
      </rPr>
      <t>Corrigé</t>
    </r>
    <r>
      <rPr>
        <b/>
        <vertAlign val="subscript"/>
        <sz val="10"/>
        <rFont val="Arial"/>
        <family val="2"/>
      </rPr>
      <t xml:space="preserve"> 5</t>
    </r>
    <r>
      <rPr>
        <b/>
        <i/>
        <sz val="10"/>
        <rFont val="Arial"/>
        <family val="2"/>
      </rPr>
      <t>D</t>
    </r>
    <r>
      <rPr>
        <b/>
        <i/>
        <vertAlign val="subscript"/>
        <sz val="10"/>
        <rFont val="Arial"/>
        <family val="2"/>
      </rPr>
      <t>x</t>
    </r>
  </si>
  <si>
    <t>Corrigé PYL(x,5)</t>
  </si>
  <si>
    <r>
      <t xml:space="preserve">Corrigé </t>
    </r>
    <r>
      <rPr>
        <b/>
        <vertAlign val="subscript"/>
        <sz val="10"/>
        <rFont val="Arial"/>
        <family val="2"/>
      </rPr>
      <t>5</t>
    </r>
    <r>
      <rPr>
        <b/>
        <i/>
        <sz val="10"/>
        <rFont val="Arial"/>
        <family val="2"/>
      </rPr>
      <t>m</t>
    </r>
    <r>
      <rPr>
        <b/>
        <i/>
        <vertAlign val="subscript"/>
        <sz val="10"/>
        <rFont val="Arial"/>
        <family val="2"/>
      </rPr>
      <t>x</t>
    </r>
  </si>
  <si>
    <r>
      <t xml:space="preserve">Lissé </t>
    </r>
    <r>
      <rPr>
        <b/>
        <i/>
        <sz val="10"/>
        <rFont val="Arial"/>
        <family val="2"/>
      </rPr>
      <t>Y</t>
    </r>
    <r>
      <rPr>
        <b/>
        <sz val="10"/>
        <rFont val="Arial"/>
        <family val="2"/>
      </rPr>
      <t>(x)</t>
    </r>
  </si>
  <si>
    <r>
      <t xml:space="preserve">Lissé </t>
    </r>
    <r>
      <rPr>
        <b/>
        <i/>
        <sz val="10"/>
        <rFont val="Arial"/>
        <family val="2"/>
      </rPr>
      <t>l</t>
    </r>
    <r>
      <rPr>
        <b/>
        <sz val="10"/>
        <rFont val="Arial"/>
        <family val="2"/>
      </rPr>
      <t>(</t>
    </r>
    <r>
      <rPr>
        <b/>
        <i/>
        <sz val="10"/>
        <rFont val="Arial"/>
        <family val="2"/>
      </rPr>
      <t>x</t>
    </r>
    <r>
      <rPr>
        <b/>
        <sz val="10"/>
        <rFont val="Arial"/>
        <family val="2"/>
      </rPr>
      <t>)</t>
    </r>
  </si>
  <si>
    <r>
      <t xml:space="preserve">Lissé </t>
    </r>
    <r>
      <rPr>
        <b/>
        <vertAlign val="subscript"/>
        <sz val="10"/>
        <rFont val="Arial"/>
        <family val="2"/>
      </rPr>
      <t>5</t>
    </r>
    <r>
      <rPr>
        <b/>
        <i/>
        <sz val="10"/>
        <rFont val="Arial"/>
        <family val="2"/>
      </rPr>
      <t>m</t>
    </r>
    <r>
      <rPr>
        <b/>
        <i/>
        <vertAlign val="subscript"/>
        <sz val="10"/>
        <rFont val="Arial"/>
        <family val="2"/>
      </rPr>
      <t>x</t>
    </r>
  </si>
  <si>
    <t>Hommes</t>
  </si>
  <si>
    <t>Femmes</t>
  </si>
  <si>
    <t>Cette méthode est décrite dans le document suivant :</t>
  </si>
  <si>
    <r>
      <t xml:space="preserve">S'assurer que toutes les données ont le même groupe d'âge ouvert. Copier et coller les données de la première population dans les cellulles: </t>
    </r>
    <r>
      <rPr>
        <b/>
        <sz val="12"/>
        <rFont val="Arial"/>
        <family val="2"/>
      </rPr>
      <t>C8:C25</t>
    </r>
    <r>
      <rPr>
        <sz val="12"/>
        <rFont val="Arial"/>
        <family val="2"/>
      </rPr>
      <t xml:space="preserve">, celles de la seconde population en </t>
    </r>
    <r>
      <rPr>
        <b/>
        <sz val="12"/>
        <rFont val="Arial"/>
        <family val="2"/>
      </rPr>
      <t>D8:D25</t>
    </r>
    <r>
      <rPr>
        <sz val="12"/>
        <rFont val="Arial"/>
        <family val="2"/>
      </rPr>
      <t xml:space="preserve">, et les données des décès dans les cellules </t>
    </r>
    <r>
      <rPr>
        <b/>
        <sz val="12"/>
        <rFont val="Arial"/>
        <family val="2"/>
      </rPr>
      <t>E8:E25</t>
    </r>
    <r>
      <rPr>
        <sz val="12"/>
        <rFont val="Arial"/>
        <family val="2"/>
      </rPr>
      <t xml:space="preserve"> de la feuille </t>
    </r>
    <r>
      <rPr>
        <b/>
        <sz val="12"/>
        <rFont val="Arial"/>
        <family val="2"/>
      </rPr>
      <t>Méthode</t>
    </r>
    <r>
      <rPr>
        <sz val="12"/>
        <rFont val="Arial"/>
        <family val="2"/>
      </rPr>
      <t xml:space="preserve">. Si on dispose de données fiables sur les migrations, les entrer dans les cellules </t>
    </r>
    <r>
      <rPr>
        <b/>
        <sz val="12"/>
        <rFont val="Arial"/>
        <family val="2"/>
      </rPr>
      <t>F8:F25</t>
    </r>
    <r>
      <rPr>
        <sz val="12"/>
        <rFont val="Arial"/>
        <family val="2"/>
      </rPr>
      <t>.</t>
    </r>
  </si>
  <si>
    <t>http://demographicestimation.iussp.org/fr/content/méthode-de-l’extinction-des-cohortes-synthétiques</t>
  </si>
  <si>
    <t>Homme</t>
  </si>
  <si>
    <t>NU Général</t>
  </si>
  <si>
    <t>Princeton Est</t>
  </si>
  <si>
    <t>Princeton Nord</t>
  </si>
  <si>
    <t>Princeton Sud</t>
  </si>
  <si>
    <t>Princeton Ouest</t>
  </si>
  <si>
    <t>SIDA</t>
  </si>
  <si>
    <t>Autre</t>
  </si>
  <si>
    <r>
      <t xml:space="preserve">Entrer dans la cellule </t>
    </r>
    <r>
      <rPr>
        <b/>
        <sz val="12"/>
        <rFont val="Arial"/>
        <family val="2"/>
      </rPr>
      <t>J3</t>
    </r>
    <r>
      <rPr>
        <sz val="12"/>
        <rFont val="Arial"/>
        <family val="2"/>
      </rPr>
      <t xml:space="preserve"> de la feulle </t>
    </r>
    <r>
      <rPr>
        <b/>
        <i/>
        <sz val="12"/>
        <rFont val="Arial"/>
        <family val="2"/>
      </rPr>
      <t>Méthode</t>
    </r>
    <r>
      <rPr>
        <sz val="12"/>
        <rFont val="Arial"/>
        <family val="2"/>
      </rPr>
      <t xml:space="preserve"> la valeur de la fin du dernier intervalle fermé, soit l'âge de début de l'intervalle ouvert moins 1.</t>
    </r>
  </si>
  <si>
    <r>
      <t xml:space="preserve">(b) Si la population n'est pas trop affectée par les décès par sida, on peut les calculer à partir des cellules </t>
    </r>
    <r>
      <rPr>
        <b/>
        <sz val="12"/>
        <rFont val="Arial"/>
        <family val="2"/>
      </rPr>
      <t>B31:B35</t>
    </r>
    <r>
      <rPr>
        <sz val="12"/>
        <rFont val="Arial"/>
        <family val="2"/>
      </rPr>
      <t xml:space="preserve"> de la feuille </t>
    </r>
    <r>
      <rPr>
        <b/>
        <i/>
        <sz val="12"/>
        <rFont val="Arial"/>
        <family val="2"/>
      </rPr>
      <t>Espérances de vie</t>
    </r>
  </si>
  <si>
    <r>
      <t xml:space="preserve">Choisir delta (cellule </t>
    </r>
    <r>
      <rPr>
        <b/>
        <sz val="12"/>
        <rFont val="Arial"/>
        <family val="2"/>
      </rPr>
      <t xml:space="preserve">M2 </t>
    </r>
    <r>
      <rPr>
        <sz val="12"/>
        <rFont val="Arial"/>
        <family val="2"/>
      </rPr>
      <t xml:space="preserve">de la feuille </t>
    </r>
    <r>
      <rPr>
        <b/>
        <i/>
        <sz val="12"/>
        <rFont val="Arial"/>
        <family val="2"/>
      </rPr>
      <t>Méthode</t>
    </r>
    <r>
      <rPr>
        <sz val="12"/>
        <rFont val="Arial"/>
        <family val="2"/>
      </rPr>
      <t>) égal à l'ordonnée à l'origine de la droite ajustée sur les mêmes données à l'aide de la méthode généralisée de la balance de l'accroissement démographique, pour vérifier si la complétude semble baisser avec l'âge aux âges élevés</t>
    </r>
  </si>
  <si>
    <r>
      <t xml:space="preserve">Analyser la représentation graphique, et choisir l'intervalle des âges (cellules </t>
    </r>
    <r>
      <rPr>
        <b/>
        <sz val="12"/>
        <rFont val="Arial"/>
        <family val="2"/>
      </rPr>
      <t>Q32</t>
    </r>
    <r>
      <rPr>
        <sz val="12"/>
        <rFont val="Arial"/>
        <family val="2"/>
      </rPr>
      <t xml:space="preserve"> &amp; </t>
    </r>
    <r>
      <rPr>
        <b/>
        <sz val="12"/>
        <rFont val="Arial"/>
        <family val="2"/>
      </rPr>
      <t>Q33</t>
    </r>
    <r>
      <rPr>
        <sz val="12"/>
        <rFont val="Arial"/>
        <family val="2"/>
      </rPr>
      <t xml:space="preserve"> dans la feuille </t>
    </r>
    <r>
      <rPr>
        <b/>
        <i/>
        <sz val="12"/>
        <rFont val="Arial"/>
        <family val="2"/>
      </rPr>
      <t>Méthode</t>
    </r>
    <r>
      <rPr>
        <sz val="12"/>
        <rFont val="Arial"/>
        <family val="2"/>
      </rPr>
      <t xml:space="preserve">) sur lesquels on voit un segment horizontal (cellules </t>
    </r>
    <r>
      <rPr>
        <b/>
        <sz val="12"/>
        <rFont val="Arial"/>
        <family val="2"/>
      </rPr>
      <t>J2</t>
    </r>
    <r>
      <rPr>
        <sz val="12"/>
        <rFont val="Arial"/>
        <family val="2"/>
      </rPr>
      <t xml:space="preserve"> &amp; </t>
    </r>
    <r>
      <rPr>
        <b/>
        <sz val="12"/>
        <rFont val="Arial"/>
        <family val="2"/>
      </rPr>
      <t>J3</t>
    </r>
    <r>
      <rPr>
        <sz val="12"/>
        <rFont val="Arial"/>
        <family val="2"/>
      </rPr>
      <t>) et qui servira à calculer la complétude</t>
    </r>
    <r>
      <rPr>
        <b/>
        <i/>
        <sz val="12"/>
        <rFont val="Arial"/>
        <family val="2"/>
      </rPr>
      <t>.</t>
    </r>
  </si>
  <si>
    <r>
      <t xml:space="preserve">Si la complétude semble baisser avec l'âge au delà d'un certain niveau, il est vraisemblable que de meilleures estimations des taux de mortalité puissent être obtenues en utilisant des estimations de la complétude par âge pour ces âges au lieu d'un valeur unique. Cette option se fait en sélectionnant "Yes"  dans la cellule </t>
    </r>
    <r>
      <rPr>
        <b/>
        <sz val="12"/>
        <rFont val="Arial"/>
        <family val="2"/>
      </rPr>
      <t>E3</t>
    </r>
    <r>
      <rPr>
        <sz val="12"/>
        <rFont val="Arial"/>
        <family val="2"/>
      </rPr>
      <t xml:space="preserve"> de la feuille </t>
    </r>
    <r>
      <rPr>
        <b/>
        <i/>
        <sz val="12"/>
        <rFont val="Arial"/>
        <family val="2"/>
      </rPr>
      <t>Espérances de vie.</t>
    </r>
  </si>
  <si>
    <t>Date du premier recensement (AAAA/MM/JJ):</t>
  </si>
  <si>
    <t>Date du second recensement (AAAA/MM/JJ):</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</si>
</sst>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64" formatCode="_ * #,##0.00_ ;_ * \-#,##0.00_ ;_ * &quot;-&quot;??_ ;_ @_ "/>
    <numFmt numFmtId="165" formatCode="0.00000"/>
    <numFmt numFmtId="166" formatCode="0.0000"/>
    <numFmt numFmtId="167" formatCode="#,##0.0000_);\(#,##0.0000\)"/>
    <numFmt numFmtId="168" formatCode="0.00_)"/>
    <numFmt numFmtId="169" formatCode="0.0000_)"/>
    <numFmt numFmtId="170" formatCode="0_)"/>
    <numFmt numFmtId="171" formatCode="_ * #,##0_ ;_ * \-#,##0_ ;_ * &quot;-&quot;??_ ;_ @_ "/>
    <numFmt numFmtId="172" formatCode="0.000"/>
    <numFmt numFmtId="173" formatCode="General_)"/>
    <numFmt numFmtId="174" formatCode="0.000_)"/>
    <numFmt numFmtId="175" formatCode="yyyy/mm/dd;@"/>
    <numFmt numFmtId="176" formatCode="0.0_)"/>
  </numFmts>
  <fonts count="32">
    <font>
      <sz val="10"/>
      <name val="Arial"/>
    </font>
    <font>
      <sz val="10"/>
      <name val="Arial"/>
      <family val="2"/>
    </font>
    <font>
      <sz val="10"/>
      <name val="Arial"/>
      <family val="2"/>
    </font>
    <font>
      <sz val="12"/>
      <name val="Arial Narrow"/>
      <family val="2"/>
    </font>
    <font>
      <b/>
      <sz val="12"/>
      <name val="Arial Narrow"/>
      <family val="2"/>
    </font>
    <font>
      <b/>
      <i/>
      <sz val="12"/>
      <name val="Arial Narrow"/>
      <family val="2"/>
    </font>
    <font>
      <b/>
      <vertAlign val="subscript"/>
      <sz val="12"/>
      <name val="Arial Narrow"/>
      <family val="2"/>
    </font>
    <font>
      <i/>
      <sz val="10"/>
      <name val="Arial"/>
      <family val="2"/>
    </font>
    <font>
      <b/>
      <sz val="12"/>
      <color indexed="81"/>
      <name val="Tahoma"/>
      <family val="2"/>
    </font>
    <font>
      <u/>
      <sz val="10"/>
      <color theme="10"/>
      <name val="Arial"/>
      <family val="2"/>
    </font>
    <font>
      <vertAlign val="subscript"/>
      <sz val="10"/>
      <color theme="1"/>
      <name val="Arial"/>
      <family val="2"/>
    </font>
    <font>
      <i/>
      <sz val="10"/>
      <color theme="1"/>
      <name val="Arial"/>
      <family val="2"/>
    </font>
    <font>
      <b/>
      <sz val="12"/>
      <name val="Arial"/>
      <family val="2"/>
    </font>
    <font>
      <sz val="12"/>
      <name val="Arial"/>
      <family val="2"/>
    </font>
    <font>
      <u/>
      <sz val="12"/>
      <color theme="10"/>
      <name val="Arial"/>
      <family val="2"/>
    </font>
    <font>
      <b/>
      <i/>
      <sz val="12"/>
      <name val="Arial"/>
      <family val="2"/>
    </font>
    <font>
      <sz val="12"/>
      <name val="Courier"/>
      <family val="3"/>
    </font>
    <font>
      <b/>
      <vertAlign val="subscript"/>
      <sz val="12"/>
      <name val="Arial"/>
      <family val="2"/>
    </font>
    <font>
      <b/>
      <sz val="11"/>
      <name val="Arial"/>
      <family val="2"/>
    </font>
    <font>
      <b/>
      <i/>
      <sz val="11"/>
      <name val="Arial"/>
      <family val="2"/>
    </font>
    <font>
      <b/>
      <vertAlign val="subscript"/>
      <sz val="11"/>
      <name val="Arial"/>
      <family val="2"/>
    </font>
    <font>
      <sz val="11"/>
      <color indexed="8"/>
      <name val="Calibri"/>
      <family val="2"/>
    </font>
    <font>
      <sz val="8"/>
      <name val="SAS Monospace"/>
    </font>
    <font>
      <sz val="10"/>
      <name val="Courier"/>
      <family val="3"/>
    </font>
    <font>
      <b/>
      <sz val="10"/>
      <color rgb="FFFF0000"/>
      <name val="Arial"/>
      <family val="2"/>
    </font>
    <font>
      <sz val="10"/>
      <color rgb="FFFF0000"/>
      <name val="Arial"/>
      <family val="2"/>
    </font>
    <font>
      <b/>
      <i/>
      <sz val="10"/>
      <name val="Arial"/>
      <family val="2"/>
    </font>
    <font>
      <b/>
      <vertAlign val="subscript"/>
      <sz val="10"/>
      <name val="Arial"/>
      <family val="2"/>
    </font>
    <font>
      <b/>
      <sz val="10"/>
      <name val="Arial"/>
      <family val="2"/>
    </font>
    <font>
      <b/>
      <i/>
      <vertAlign val="subscript"/>
      <sz val="10"/>
      <name val="Arial"/>
      <family val="2"/>
    </font>
    <font>
      <b/>
      <sz val="10"/>
      <color theme="1"/>
      <name val="Arial"/>
      <family val="2"/>
    </font>
    <font>
      <i/>
      <sz val="12"/>
      <name val="Arial"/>
      <family val="2"/>
    </font>
  </fonts>
  <fills count="8">
    <fill>
      <patternFill patternType="none"/>
    </fill>
    <fill>
      <patternFill patternType="gray125"/>
    </fill>
    <fill>
      <patternFill patternType="solid">
        <fgColor indexed="43"/>
        <bgColor indexed="64"/>
      </patternFill>
    </fill>
    <fill>
      <patternFill patternType="solid">
        <fgColor rgb="FFFFEB9C"/>
        <bgColor indexed="64"/>
      </patternFill>
    </fill>
    <fill>
      <patternFill patternType="solid">
        <fgColor theme="0"/>
        <bgColor indexed="64"/>
      </patternFill>
    </fill>
    <fill>
      <patternFill patternType="solid">
        <fgColor rgb="FFC6EFCE"/>
        <bgColor indexed="64"/>
      </patternFill>
    </fill>
    <fill>
      <patternFill patternType="solid">
        <fgColor theme="6" tint="0.39994506668294322"/>
        <bgColor indexed="64"/>
      </patternFill>
    </fill>
    <fill>
      <patternFill patternType="solid">
        <fgColor rgb="FFFFEB9B"/>
        <bgColor indexed="64"/>
      </patternFill>
    </fill>
  </fills>
  <borders count="14">
    <border>
      <left/>
      <right/>
      <top/>
      <bottom/>
      <diagonal/>
    </border>
    <border>
      <left/>
      <right/>
      <top style="thin">
        <color indexed="64"/>
      </top>
      <bottom style="thin">
        <color indexed="64"/>
      </bottom>
      <diagonal/>
    </border>
    <border>
      <left/>
      <right/>
      <top/>
      <bottom style="thin">
        <color indexed="64"/>
      </bottom>
      <diagonal/>
    </border>
    <border>
      <left style="thin">
        <color theme="9" tint="-0.249977111117893"/>
      </left>
      <right/>
      <top/>
      <bottom/>
      <diagonal/>
    </border>
    <border>
      <left style="medium">
        <color indexed="64"/>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s>
  <cellStyleXfs count="14">
    <xf numFmtId="0" fontId="0" fillId="0" borderId="0"/>
    <xf numFmtId="0" fontId="1" fillId="0" borderId="0"/>
    <xf numFmtId="0" fontId="1" fillId="0" borderId="0"/>
    <xf numFmtId="164" fontId="2" fillId="0" borderId="0" applyFont="0" applyFill="0" applyBorder="0" applyAlignment="0" applyProtection="0"/>
    <xf numFmtId="0" fontId="1" fillId="0" borderId="0"/>
    <xf numFmtId="173" fontId="16" fillId="0" borderId="0"/>
    <xf numFmtId="164" fontId="1" fillId="0" borderId="0" applyFont="0" applyFill="0" applyBorder="0" applyAlignment="0" applyProtection="0"/>
    <xf numFmtId="164" fontId="21" fillId="0" borderId="0" applyFont="0" applyFill="0" applyBorder="0" applyAlignment="0" applyProtection="0"/>
    <xf numFmtId="0" fontId="22" fillId="0" borderId="0"/>
    <xf numFmtId="169" fontId="23" fillId="0" borderId="0"/>
    <xf numFmtId="0" fontId="1" fillId="0" borderId="0"/>
    <xf numFmtId="0" fontId="1" fillId="0" borderId="0"/>
    <xf numFmtId="169" fontId="23" fillId="0" borderId="0"/>
    <xf numFmtId="0" fontId="9" fillId="0" borderId="0" applyNumberFormat="0" applyFill="0" applyBorder="0" applyAlignment="0" applyProtection="0">
      <alignment vertical="top"/>
      <protection locked="0"/>
    </xf>
  </cellStyleXfs>
  <cellXfs count="138">
    <xf numFmtId="0" fontId="0" fillId="0" borderId="0" xfId="0"/>
    <xf numFmtId="0" fontId="3" fillId="0" borderId="0" xfId="0" applyFont="1"/>
    <xf numFmtId="0" fontId="1" fillId="0" borderId="0" xfId="0" applyFont="1"/>
    <xf numFmtId="2" fontId="1" fillId="0" borderId="0" xfId="0" applyNumberFormat="1" applyFont="1"/>
    <xf numFmtId="1" fontId="1" fillId="0" borderId="0" xfId="0" applyNumberFormat="1" applyFont="1"/>
    <xf numFmtId="0" fontId="1" fillId="0" borderId="0" xfId="0" applyFont="1" applyAlignment="1">
      <alignment horizontal="right"/>
    </xf>
    <xf numFmtId="0" fontId="3" fillId="0" borderId="0" xfId="2" applyFont="1"/>
    <xf numFmtId="0" fontId="12" fillId="0" borderId="0" xfId="2" applyFont="1"/>
    <xf numFmtId="0" fontId="3" fillId="0" borderId="0" xfId="2" applyFont="1" applyAlignment="1">
      <alignment vertical="top"/>
    </xf>
    <xf numFmtId="0" fontId="13" fillId="0" borderId="0" xfId="2" applyFont="1" applyAlignment="1">
      <alignment vertical="top"/>
    </xf>
    <xf numFmtId="0" fontId="13" fillId="0" borderId="0" xfId="2" applyFont="1"/>
    <xf numFmtId="0" fontId="13" fillId="0" borderId="0" xfId="2" applyFont="1" applyAlignment="1">
      <alignment vertical="top" wrapText="1"/>
    </xf>
    <xf numFmtId="0" fontId="13" fillId="0" borderId="0" xfId="2" applyFont="1" applyAlignment="1">
      <alignment wrapText="1"/>
    </xf>
    <xf numFmtId="173" fontId="12" fillId="0" borderId="0" xfId="5" applyFont="1"/>
    <xf numFmtId="173" fontId="13" fillId="0" borderId="0" xfId="5" applyFont="1"/>
    <xf numFmtId="173" fontId="4" fillId="0" borderId="0" xfId="5" applyFont="1" applyAlignment="1">
      <alignment horizontal="center"/>
    </xf>
    <xf numFmtId="173" fontId="12" fillId="0" borderId="0" xfId="5" applyFont="1" applyAlignment="1">
      <alignment horizontal="center"/>
    </xf>
    <xf numFmtId="173" fontId="12" fillId="4" borderId="1" xfId="5" applyFont="1" applyFill="1" applyBorder="1" applyAlignment="1" applyProtection="1">
      <alignment horizontal="center"/>
      <protection hidden="1"/>
    </xf>
    <xf numFmtId="1" fontId="1" fillId="4" borderId="0" xfId="5" applyNumberFormat="1" applyFont="1" applyFill="1" applyBorder="1" applyAlignment="1" applyProtection="1">
      <alignment horizontal="center"/>
      <protection hidden="1"/>
    </xf>
    <xf numFmtId="169" fontId="1" fillId="4" borderId="0" xfId="5" applyNumberFormat="1" applyFont="1" applyFill="1" applyBorder="1" applyProtection="1">
      <protection hidden="1"/>
    </xf>
    <xf numFmtId="169" fontId="1" fillId="4" borderId="6" xfId="5" applyNumberFormat="1" applyFont="1" applyFill="1" applyBorder="1" applyProtection="1">
      <protection hidden="1"/>
    </xf>
    <xf numFmtId="174" fontId="1" fillId="5" borderId="0" xfId="5" applyNumberFormat="1" applyFont="1" applyFill="1" applyAlignment="1" applyProtection="1">
      <alignment horizontal="right"/>
      <protection locked="0"/>
    </xf>
    <xf numFmtId="1" fontId="1" fillId="4" borderId="2" xfId="5" applyNumberFormat="1" applyFont="1" applyFill="1" applyBorder="1" applyAlignment="1" applyProtection="1">
      <alignment horizontal="center"/>
      <protection hidden="1"/>
    </xf>
    <xf numFmtId="169" fontId="1" fillId="4" borderId="2" xfId="5" applyNumberFormat="1" applyFont="1" applyFill="1" applyBorder="1" applyProtection="1">
      <protection hidden="1"/>
    </xf>
    <xf numFmtId="174" fontId="1" fillId="5" borderId="2" xfId="5" applyNumberFormat="1" applyFont="1" applyFill="1" applyBorder="1" applyAlignment="1" applyProtection="1">
      <alignment horizontal="right"/>
      <protection locked="0"/>
    </xf>
    <xf numFmtId="173" fontId="12" fillId="0" borderId="0" xfId="5" applyFont="1" applyAlignment="1" applyProtection="1">
      <alignment horizontal="left"/>
    </xf>
    <xf numFmtId="165" fontId="13" fillId="0" borderId="0" xfId="5" applyNumberFormat="1" applyFont="1"/>
    <xf numFmtId="173" fontId="1" fillId="0" borderId="0" xfId="5" applyFont="1"/>
    <xf numFmtId="173" fontId="18" fillId="4" borderId="6" xfId="5" applyFont="1" applyFill="1" applyBorder="1"/>
    <xf numFmtId="173" fontId="18" fillId="4" borderId="6" xfId="5" applyFont="1" applyFill="1" applyBorder="1" applyAlignment="1">
      <alignment horizontal="center"/>
    </xf>
    <xf numFmtId="173" fontId="18" fillId="4" borderId="0" xfId="5" applyFont="1" applyFill="1" applyBorder="1" applyAlignment="1" applyProtection="1">
      <alignment horizontal="center"/>
    </xf>
    <xf numFmtId="173" fontId="18" fillId="4" borderId="0" xfId="5" applyFont="1" applyFill="1" applyBorder="1" applyAlignment="1">
      <alignment horizontal="center"/>
    </xf>
    <xf numFmtId="173" fontId="13" fillId="4" borderId="2" xfId="5" applyFont="1" applyFill="1" applyBorder="1"/>
    <xf numFmtId="169" fontId="18" fillId="4" borderId="0" xfId="5" applyNumberFormat="1" applyFont="1" applyFill="1" applyBorder="1" applyAlignment="1" applyProtection="1">
      <alignment horizontal="center"/>
    </xf>
    <xf numFmtId="169" fontId="1" fillId="4" borderId="6" xfId="5" applyNumberFormat="1" applyFont="1" applyFill="1" applyBorder="1" applyProtection="1"/>
    <xf numFmtId="169" fontId="1" fillId="4" borderId="0" xfId="5" applyNumberFormat="1" applyFont="1" applyFill="1" applyBorder="1" applyProtection="1"/>
    <xf numFmtId="169" fontId="1" fillId="4" borderId="2" xfId="5" applyNumberFormat="1" applyFont="1" applyFill="1" applyBorder="1" applyProtection="1"/>
    <xf numFmtId="0" fontId="13" fillId="0" borderId="9" xfId="0" applyFont="1" applyFill="1" applyBorder="1"/>
    <xf numFmtId="0" fontId="13" fillId="0" borderId="4" xfId="0" applyFont="1" applyFill="1" applyBorder="1"/>
    <xf numFmtId="0" fontId="3" fillId="0" borderId="4" xfId="2" applyFont="1" applyBorder="1"/>
    <xf numFmtId="0" fontId="3" fillId="0" borderId="12" xfId="2" applyFont="1" applyBorder="1"/>
    <xf numFmtId="0" fontId="13" fillId="0" borderId="0" xfId="0" applyFont="1"/>
    <xf numFmtId="0" fontId="13" fillId="0" borderId="0" xfId="0" applyFont="1" applyAlignment="1">
      <alignment wrapText="1"/>
    </xf>
    <xf numFmtId="0" fontId="1" fillId="0" borderId="0" xfId="2" applyFont="1"/>
    <xf numFmtId="0" fontId="1" fillId="0" borderId="0" xfId="2" applyFont="1" applyBorder="1"/>
    <xf numFmtId="0" fontId="24" fillId="0" borderId="0" xfId="2" applyFont="1"/>
    <xf numFmtId="0" fontId="25" fillId="0" borderId="0" xfId="2" applyFont="1"/>
    <xf numFmtId="0" fontId="1" fillId="0" borderId="0" xfId="2"/>
    <xf numFmtId="0" fontId="1" fillId="6" borderId="0" xfId="2" applyFont="1" applyFill="1"/>
    <xf numFmtId="167" fontId="1" fillId="0" borderId="0" xfId="2" applyNumberFormat="1" applyFont="1" applyAlignment="1" applyProtection="1">
      <alignment horizontal="left"/>
    </xf>
    <xf numFmtId="169" fontId="1" fillId="0" borderId="0" xfId="2" applyNumberFormat="1" applyFont="1" applyProtection="1"/>
    <xf numFmtId="169" fontId="25" fillId="0" borderId="0" xfId="2" applyNumberFormat="1" applyFont="1"/>
    <xf numFmtId="1" fontId="26" fillId="0" borderId="1" xfId="2" applyNumberFormat="1" applyFont="1" applyBorder="1" applyAlignment="1" applyProtection="1">
      <alignment horizontal="center"/>
    </xf>
    <xf numFmtId="1" fontId="27" fillId="0" borderId="1" xfId="2" applyNumberFormat="1" applyFont="1" applyBorder="1" applyAlignment="1" applyProtection="1">
      <alignment horizontal="center" wrapText="1"/>
    </xf>
    <xf numFmtId="0" fontId="28" fillId="0" borderId="1" xfId="2" applyFont="1" applyBorder="1" applyAlignment="1">
      <alignment horizontal="center" wrapText="1"/>
    </xf>
    <xf numFmtId="0" fontId="26" fillId="0" borderId="1" xfId="2" applyFont="1" applyBorder="1" applyAlignment="1">
      <alignment horizontal="center"/>
    </xf>
    <xf numFmtId="0" fontId="28" fillId="0" borderId="1" xfId="2" applyFont="1" applyBorder="1" applyAlignment="1">
      <alignment horizontal="center"/>
    </xf>
    <xf numFmtId="167" fontId="28" fillId="0" borderId="1" xfId="2" applyNumberFormat="1" applyFont="1" applyBorder="1" applyAlignment="1" applyProtection="1">
      <alignment horizontal="center"/>
    </xf>
    <xf numFmtId="167" fontId="28" fillId="0" borderId="1" xfId="2" applyNumberFormat="1" applyFont="1" applyBorder="1" applyAlignment="1" applyProtection="1">
      <alignment horizontal="center" wrapText="1"/>
    </xf>
    <xf numFmtId="0" fontId="28" fillId="0" borderId="1" xfId="2" applyFont="1" applyBorder="1" applyAlignment="1" applyProtection="1">
      <alignment horizontal="center"/>
    </xf>
    <xf numFmtId="170" fontId="28" fillId="0" borderId="1" xfId="2" applyNumberFormat="1" applyFont="1" applyBorder="1" applyAlignment="1" applyProtection="1">
      <alignment horizontal="center"/>
    </xf>
    <xf numFmtId="168" fontId="28" fillId="0" borderId="1" xfId="2" applyNumberFormat="1" applyFont="1" applyBorder="1" applyAlignment="1" applyProtection="1">
      <alignment horizontal="center"/>
    </xf>
    <xf numFmtId="168" fontId="28" fillId="0" borderId="1" xfId="2" applyNumberFormat="1" applyFont="1" applyBorder="1" applyAlignment="1" applyProtection="1">
      <alignment horizontal="center" wrapText="1"/>
    </xf>
    <xf numFmtId="0" fontId="1" fillId="0" borderId="0" xfId="2" applyFont="1" applyAlignment="1">
      <alignment horizontal="center"/>
    </xf>
    <xf numFmtId="0" fontId="28" fillId="0" borderId="0" xfId="2" applyFont="1"/>
    <xf numFmtId="171" fontId="1" fillId="0" borderId="0" xfId="6" applyNumberFormat="1" applyFont="1"/>
    <xf numFmtId="166" fontId="1" fillId="7" borderId="0" xfId="2" applyNumberFormat="1" applyFont="1" applyFill="1"/>
    <xf numFmtId="166" fontId="1" fillId="0" borderId="0" xfId="2" applyNumberFormat="1" applyFont="1"/>
    <xf numFmtId="167" fontId="1" fillId="0" borderId="0" xfId="2" applyNumberFormat="1" applyFont="1" applyProtection="1"/>
    <xf numFmtId="170" fontId="1" fillId="7" borderId="0" xfId="2" applyNumberFormat="1" applyFont="1" applyFill="1" applyProtection="1"/>
    <xf numFmtId="174" fontId="1" fillId="0" borderId="0" xfId="2" applyNumberFormat="1" applyFont="1" applyProtection="1"/>
    <xf numFmtId="176" fontId="1" fillId="7" borderId="0" xfId="2" applyNumberFormat="1" applyFont="1" applyFill="1" applyProtection="1"/>
    <xf numFmtId="169" fontId="1" fillId="7" borderId="0" xfId="2" applyNumberFormat="1" applyFont="1" applyFill="1" applyProtection="1"/>
    <xf numFmtId="37" fontId="1" fillId="0" borderId="0" xfId="2" applyNumberFormat="1"/>
    <xf numFmtId="0" fontId="7" fillId="0" borderId="0" xfId="2" applyFont="1" applyAlignment="1">
      <alignment horizontal="right"/>
    </xf>
    <xf numFmtId="0" fontId="1" fillId="0" borderId="0" xfId="2" applyFont="1" applyAlignment="1">
      <alignment horizontal="right"/>
    </xf>
    <xf numFmtId="1" fontId="1" fillId="0" borderId="0" xfId="2" applyNumberFormat="1" applyFont="1"/>
    <xf numFmtId="2" fontId="1" fillId="7" borderId="0" xfId="2" applyNumberFormat="1" applyFill="1"/>
    <xf numFmtId="0" fontId="1" fillId="0" borderId="0" xfId="2" applyAlignment="1">
      <alignment horizontal="center"/>
    </xf>
    <xf numFmtId="0" fontId="1" fillId="2" borderId="0" xfId="2" applyFill="1"/>
    <xf numFmtId="172" fontId="1" fillId="2" borderId="0" xfId="2" applyNumberFormat="1" applyFont="1" applyFill="1"/>
    <xf numFmtId="0" fontId="1" fillId="2" borderId="0" xfId="2" applyFont="1" applyFill="1"/>
    <xf numFmtId="2" fontId="1" fillId="0" borderId="0" xfId="2" applyNumberFormat="1" applyFont="1"/>
    <xf numFmtId="3" fontId="1" fillId="0" borderId="0" xfId="2" applyNumberFormat="1" applyFont="1"/>
    <xf numFmtId="164" fontId="1" fillId="0" borderId="0" xfId="3" applyFont="1"/>
    <xf numFmtId="3" fontId="1" fillId="0" borderId="0" xfId="0" applyNumberFormat="1" applyFont="1"/>
    <xf numFmtId="14" fontId="1" fillId="0" borderId="0" xfId="0" applyNumberFormat="1" applyFont="1"/>
    <xf numFmtId="165" fontId="1" fillId="0" borderId="0" xfId="0" applyNumberFormat="1" applyFont="1"/>
    <xf numFmtId="166" fontId="1" fillId="0" borderId="0" xfId="0" applyNumberFormat="1" applyFont="1"/>
    <xf numFmtId="1" fontId="26" fillId="0" borderId="1" xfId="0" applyNumberFormat="1" applyFont="1" applyBorder="1" applyAlignment="1" applyProtection="1">
      <alignment horizontal="center"/>
    </xf>
    <xf numFmtId="1" fontId="27" fillId="0" borderId="1" xfId="0" applyNumberFormat="1" applyFont="1" applyBorder="1" applyAlignment="1" applyProtection="1">
      <alignment horizontal="center"/>
    </xf>
    <xf numFmtId="166" fontId="27" fillId="0" borderId="1" xfId="0" applyNumberFormat="1" applyFont="1" applyBorder="1" applyAlignment="1" applyProtection="1">
      <alignment horizontal="center"/>
    </xf>
    <xf numFmtId="1" fontId="28" fillId="0" borderId="1" xfId="0" applyNumberFormat="1" applyFont="1" applyBorder="1" applyAlignment="1" applyProtection="1">
      <alignment horizontal="center"/>
    </xf>
    <xf numFmtId="166" fontId="28" fillId="0" borderId="1" xfId="0" applyNumberFormat="1" applyFont="1" applyBorder="1" applyAlignment="1" applyProtection="1">
      <alignment horizontal="center"/>
    </xf>
    <xf numFmtId="166" fontId="1" fillId="0" borderId="0" xfId="0" applyNumberFormat="1" applyFont="1" applyBorder="1" applyAlignment="1" applyProtection="1">
      <alignment horizontal="center"/>
    </xf>
    <xf numFmtId="1" fontId="1" fillId="0" borderId="0" xfId="0" applyNumberFormat="1" applyFont="1" applyAlignment="1">
      <alignment horizontal="center"/>
    </xf>
    <xf numFmtId="1" fontId="28" fillId="0" borderId="0" xfId="0" quotePrefix="1" applyNumberFormat="1" applyFont="1" applyAlignment="1">
      <alignment horizontal="center"/>
    </xf>
    <xf numFmtId="1" fontId="1" fillId="0" borderId="0" xfId="0" quotePrefix="1" applyNumberFormat="1" applyFont="1" applyAlignment="1">
      <alignment horizontal="right"/>
    </xf>
    <xf numFmtId="166" fontId="1" fillId="0" borderId="0" xfId="1" applyNumberFormat="1" applyFont="1" applyProtection="1"/>
    <xf numFmtId="171" fontId="1" fillId="0" borderId="0" xfId="3" applyNumberFormat="1" applyFont="1"/>
    <xf numFmtId="171" fontId="1" fillId="0" borderId="0" xfId="3" applyNumberFormat="1" applyFont="1" applyProtection="1"/>
    <xf numFmtId="166" fontId="1" fillId="0" borderId="0" xfId="0" applyNumberFormat="1" applyFont="1" applyProtection="1"/>
    <xf numFmtId="1" fontId="28" fillId="0" borderId="0" xfId="0" applyNumberFormat="1" applyFont="1" applyAlignment="1" applyProtection="1">
      <alignment horizontal="center"/>
    </xf>
    <xf numFmtId="1" fontId="1" fillId="0" borderId="0" xfId="0" applyNumberFormat="1" applyFont="1" applyAlignment="1" applyProtection="1">
      <alignment horizontal="center"/>
    </xf>
    <xf numFmtId="1" fontId="1" fillId="0" borderId="0" xfId="0" applyNumberFormat="1" applyFont="1" applyProtection="1">
      <protection locked="0"/>
    </xf>
    <xf numFmtId="1" fontId="1" fillId="0" borderId="0" xfId="0" applyNumberFormat="1" applyFont="1" applyProtection="1"/>
    <xf numFmtId="1" fontId="1" fillId="0" borderId="0" xfId="0" applyNumberFormat="1" applyFont="1" applyAlignment="1">
      <alignment horizontal="right"/>
    </xf>
    <xf numFmtId="1" fontId="1" fillId="0" borderId="0" xfId="0" applyNumberFormat="1" applyFont="1" applyAlignment="1" applyProtection="1">
      <alignment horizontal="left"/>
    </xf>
    <xf numFmtId="37" fontId="1" fillId="0" borderId="0" xfId="0" applyNumberFormat="1" applyFont="1" applyProtection="1">
      <protection locked="0"/>
    </xf>
    <xf numFmtId="0" fontId="28" fillId="0" borderId="0" xfId="0" applyFont="1"/>
    <xf numFmtId="0" fontId="28" fillId="0" borderId="0" xfId="0" applyFont="1" applyAlignment="1">
      <alignment horizontal="center"/>
    </xf>
    <xf numFmtId="1" fontId="1" fillId="0" borderId="1" xfId="0" applyNumberFormat="1" applyFont="1" applyBorder="1" applyAlignment="1">
      <alignment horizontal="center"/>
    </xf>
    <xf numFmtId="0" fontId="1" fillId="6" borderId="0" xfId="0" applyFont="1" applyFill="1"/>
    <xf numFmtId="1" fontId="1" fillId="6" borderId="0" xfId="0" applyNumberFormat="1" applyFont="1" applyFill="1"/>
    <xf numFmtId="9" fontId="1" fillId="0" borderId="0" xfId="0" applyNumberFormat="1" applyFont="1" applyFill="1" applyProtection="1"/>
    <xf numFmtId="9" fontId="1" fillId="0" borderId="0" xfId="0" applyNumberFormat="1" applyFont="1" applyFill="1"/>
    <xf numFmtId="1" fontId="1" fillId="0" borderId="1" xfId="0" applyNumberFormat="1" applyFont="1" applyFill="1" applyBorder="1" applyAlignment="1" applyProtection="1">
      <alignment horizontal="center"/>
    </xf>
    <xf numFmtId="166" fontId="1" fillId="0" borderId="1" xfId="0" applyNumberFormat="1" applyFont="1" applyFill="1" applyBorder="1" applyAlignment="1">
      <alignment horizontal="center"/>
    </xf>
    <xf numFmtId="9" fontId="28" fillId="7" borderId="0" xfId="0" applyNumberFormat="1" applyFont="1" applyFill="1" applyProtection="1"/>
    <xf numFmtId="2" fontId="1" fillId="6" borderId="0" xfId="0" applyNumberFormat="1" applyFont="1" applyFill="1" applyAlignment="1">
      <alignment horizontal="center"/>
    </xf>
    <xf numFmtId="0" fontId="30" fillId="0" borderId="0" xfId="0" applyFont="1" applyAlignment="1">
      <alignment horizontal="center"/>
    </xf>
    <xf numFmtId="0" fontId="3" fillId="6" borderId="5" xfId="0" applyFont="1" applyFill="1" applyBorder="1"/>
    <xf numFmtId="3" fontId="1" fillId="6" borderId="0" xfId="0" applyNumberFormat="1" applyFont="1" applyFill="1"/>
    <xf numFmtId="0" fontId="13" fillId="5" borderId="10" xfId="0" applyFont="1" applyFill="1" applyBorder="1" applyAlignment="1" applyProtection="1">
      <alignment horizontal="center"/>
      <protection locked="0"/>
    </xf>
    <xf numFmtId="0" fontId="13" fillId="5" borderId="11" xfId="0" applyFont="1" applyFill="1" applyBorder="1" applyAlignment="1" applyProtection="1">
      <alignment horizontal="center"/>
      <protection locked="0"/>
    </xf>
    <xf numFmtId="175" fontId="13" fillId="5" borderId="11" xfId="0" applyNumberFormat="1" applyFont="1" applyFill="1" applyBorder="1" applyAlignment="1" applyProtection="1">
      <alignment horizontal="center"/>
      <protection locked="0"/>
    </xf>
    <xf numFmtId="175" fontId="13" fillId="5" borderId="13" xfId="0" applyNumberFormat="1" applyFont="1" applyFill="1" applyBorder="1" applyAlignment="1" applyProtection="1">
      <alignment horizontal="center"/>
      <protection locked="0"/>
    </xf>
    <xf numFmtId="0" fontId="13" fillId="0" borderId="0" xfId="2" applyFont="1" applyAlignment="1">
      <alignment horizontal="left" vertical="top" wrapText="1"/>
    </xf>
    <xf numFmtId="0" fontId="13" fillId="0" borderId="0" xfId="2" applyFont="1" applyAlignment="1" applyProtection="1">
      <alignment vertical="top" wrapText="1"/>
    </xf>
    <xf numFmtId="0" fontId="12" fillId="3" borderId="3" xfId="4" applyFont="1" applyFill="1" applyBorder="1" applyAlignment="1" applyProtection="1">
      <alignment horizontal="center" wrapText="1"/>
    </xf>
    <xf numFmtId="0" fontId="1" fillId="0" borderId="0" xfId="2" applyAlignment="1" applyProtection="1">
      <alignment wrapText="1"/>
    </xf>
    <xf numFmtId="0" fontId="13" fillId="0" borderId="0" xfId="4" applyFont="1" applyFill="1" applyAlignment="1" applyProtection="1">
      <alignment horizontal="left"/>
    </xf>
    <xf numFmtId="0" fontId="13" fillId="0" borderId="0" xfId="2" applyFont="1" applyAlignment="1" applyProtection="1">
      <alignment horizontal="left" vertical="top" wrapText="1"/>
    </xf>
    <xf numFmtId="0" fontId="12" fillId="0" borderId="7" xfId="0" applyFont="1" applyBorder="1" applyAlignment="1" applyProtection="1">
      <alignment horizontal="center"/>
    </xf>
    <xf numFmtId="0" fontId="12" fillId="0" borderId="8" xfId="0" applyFont="1" applyBorder="1" applyAlignment="1" applyProtection="1">
      <alignment horizontal="center"/>
    </xf>
    <xf numFmtId="0" fontId="14" fillId="0" borderId="0" xfId="13" applyFont="1" applyAlignment="1" applyProtection="1">
      <alignment horizontal="center"/>
    </xf>
    <xf numFmtId="0" fontId="13" fillId="0" borderId="0" xfId="0" applyFont="1" applyFill="1" applyBorder="1" applyAlignment="1" applyProtection="1">
      <alignment horizontal="center"/>
      <protection locked="0"/>
    </xf>
    <xf numFmtId="173" fontId="12" fillId="4" borderId="1" xfId="5" applyFont="1" applyFill="1" applyBorder="1" applyAlignment="1" applyProtection="1">
      <alignment horizontal="right" wrapText="1"/>
      <protection hidden="1"/>
    </xf>
  </cellXfs>
  <cellStyles count="14">
    <cellStyle name="Comma" xfId="3" builtinId="3"/>
    <cellStyle name="Comma 2" xfId="6"/>
    <cellStyle name="Comma 3" xfId="7"/>
    <cellStyle name="Hyperlink 3" xfId="13"/>
    <cellStyle name="Normal" xfId="0" builtinId="0"/>
    <cellStyle name="Normal 2" xfId="2"/>
    <cellStyle name="Normal 2 2" xfId="1"/>
    <cellStyle name="Normal 2 3" xfId="8"/>
    <cellStyle name="Normal 2 4" xfId="9"/>
    <cellStyle name="Normal 3" xfId="5"/>
    <cellStyle name="Normal 3 2" xfId="10"/>
    <cellStyle name="Normal 3 2 2" xfId="4"/>
    <cellStyle name="Normal 3 3" xfId="11"/>
    <cellStyle name="Normal 4" xfId="12"/>
  </cellStyles>
  <dxfs count="0"/>
  <tableStyles count="0" defaultTableStyle="TableStyleMedium9" defaultPivotStyle="PivotStyleLight16"/>
  <colors>
    <mruColors>
      <color rgb="FFFFEB9B"/>
      <color rgb="FFFFFFFF"/>
      <color rgb="FFD7E6E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9634193057582"/>
          <c:y val="8.6842105263157901E-2"/>
          <c:w val="0.81583940463751692"/>
          <c:h val="0.72368421052632126"/>
        </c:manualLayout>
      </c:layout>
      <c:lineChart>
        <c:grouping val="standard"/>
        <c:varyColors val="0"/>
        <c:ser>
          <c:idx val="0"/>
          <c:order val="0"/>
          <c:tx>
            <c:strRef>
              <c:f>Méthode!$K$6</c:f>
              <c:strCache>
                <c:ptCount val="1"/>
                <c:pt idx="0">
                  <c:v>c: 5Nx</c:v>
                </c:pt>
              </c:strCache>
            </c:strRef>
          </c:tx>
          <c:spPr>
            <a:ln w="12700">
              <a:solidFill>
                <a:srgbClr val="000080"/>
              </a:solidFill>
              <a:prstDash val="solid"/>
            </a:ln>
          </c:spPr>
          <c:marker>
            <c:symbol val="none"/>
          </c:marker>
          <c:cat>
            <c:strRef>
              <c:f>Méthode!$A$8:$A$24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Méthode!$K$8:$K$24</c:f>
              <c:numCache>
                <c:formatCode>0.0000</c:formatCode>
                <c:ptCount val="17"/>
                <c:pt idx="1">
                  <c:v>0.87184025151995992</c:v>
                </c:pt>
                <c:pt idx="2">
                  <c:v>0.87884714710580636</c:v>
                </c:pt>
                <c:pt idx="3">
                  <c:v>0.88262238800732251</c:v>
                </c:pt>
                <c:pt idx="4">
                  <c:v>0.92850905652520588</c:v>
                </c:pt>
                <c:pt idx="5">
                  <c:v>0.94624457650268723</c:v>
                </c:pt>
                <c:pt idx="6">
                  <c:v>0.92631660073593458</c:v>
                </c:pt>
                <c:pt idx="7">
                  <c:v>0.89580081969439651</c:v>
                </c:pt>
                <c:pt idx="8">
                  <c:v>0.91463451589018929</c:v>
                </c:pt>
                <c:pt idx="9">
                  <c:v>0.95012579394598562</c:v>
                </c:pt>
                <c:pt idx="10">
                  <c:v>0.95298527817829481</c:v>
                </c:pt>
                <c:pt idx="11">
                  <c:v>0.94177135356642994</c:v>
                </c:pt>
                <c:pt idx="12">
                  <c:v>0.92154792579818778</c:v>
                </c:pt>
                <c:pt idx="13">
                  <c:v>0.89024977612237577</c:v>
                </c:pt>
                <c:pt idx="14">
                  <c:v>0.87141326330911795</c:v>
                </c:pt>
                <c:pt idx="15">
                  <c:v>0.91874179773672404</c:v>
                </c:pt>
                <c:pt idx="16">
                  <c:v>0.92791926880032949</c:v>
                </c:pt>
              </c:numCache>
            </c:numRef>
          </c:val>
          <c:smooth val="0"/>
        </c:ser>
        <c:ser>
          <c:idx val="1"/>
          <c:order val="1"/>
          <c:tx>
            <c:strRef>
              <c:f>Méthode!$L$6</c:f>
              <c:strCache>
                <c:ptCount val="1"/>
                <c:pt idx="0">
                  <c:v>c: A-xNx</c:v>
                </c:pt>
              </c:strCache>
            </c:strRef>
          </c:tx>
          <c:spPr>
            <a:ln w="12700">
              <a:solidFill>
                <a:srgbClr val="FF00FF"/>
              </a:solidFill>
              <a:prstDash val="solid"/>
            </a:ln>
          </c:spPr>
          <c:marker>
            <c:symbol val="none"/>
          </c:marker>
          <c:cat>
            <c:strRef>
              <c:f>Méthode!$A$8:$A$24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Méthode!$L$8:$L$24</c:f>
              <c:numCache>
                <c:formatCode>0.0000</c:formatCode>
                <c:ptCount val="17"/>
                <c:pt idx="1">
                  <c:v>0.90867089796663647</c:v>
                </c:pt>
                <c:pt idx="2">
                  <c:v>0.91393054261952678</c:v>
                </c:pt>
                <c:pt idx="3">
                  <c:v>0.91975758239839811</c:v>
                </c:pt>
                <c:pt idx="4">
                  <c:v>0.92721563281222685</c:v>
                </c:pt>
                <c:pt idx="5">
                  <c:v>0.92693417634027553</c:v>
                </c:pt>
                <c:pt idx="6">
                  <c:v>0.92234540356336858</c:v>
                </c:pt>
                <c:pt idx="7">
                  <c:v>0.92129531596609715</c:v>
                </c:pt>
                <c:pt idx="8">
                  <c:v>0.92884335644633642</c:v>
                </c:pt>
                <c:pt idx="9">
                  <c:v>0.93362132309735446</c:v>
                </c:pt>
                <c:pt idx="10">
                  <c:v>0.92740004920022701</c:v>
                </c:pt>
                <c:pt idx="11">
                  <c:v>0.91635919583284309</c:v>
                </c:pt>
                <c:pt idx="12">
                  <c:v>0.9040328539554715</c:v>
                </c:pt>
                <c:pt idx="13">
                  <c:v>0.89407338725404961</c:v>
                </c:pt>
                <c:pt idx="14">
                  <c:v>0.89686006425622866</c:v>
                </c:pt>
                <c:pt idx="15">
                  <c:v>0.92217723587775591</c:v>
                </c:pt>
                <c:pt idx="16">
                  <c:v>0.92791926880032949</c:v>
                </c:pt>
              </c:numCache>
            </c:numRef>
          </c:val>
          <c:smooth val="0"/>
        </c:ser>
        <c:dLbls>
          <c:showLegendKey val="0"/>
          <c:showVal val="0"/>
          <c:showCatName val="0"/>
          <c:showSerName val="0"/>
          <c:showPercent val="0"/>
          <c:showBubbleSize val="0"/>
        </c:dLbls>
        <c:marker val="1"/>
        <c:smooth val="0"/>
        <c:axId val="144384000"/>
        <c:axId val="144385920"/>
      </c:lineChart>
      <c:catAx>
        <c:axId val="14438400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Times New Roman"/>
                <a:ea typeface="Times New Roman"/>
                <a:cs typeface="Times New Roman"/>
              </a:defRPr>
            </a:pPr>
            <a:endParaRPr lang="en-US"/>
          </a:p>
        </c:txPr>
        <c:crossAx val="144385920"/>
        <c:crossesAt val="1"/>
        <c:auto val="0"/>
        <c:lblAlgn val="ctr"/>
        <c:lblOffset val="100"/>
        <c:tickLblSkip val="2"/>
        <c:tickMarkSkip val="1"/>
        <c:noMultiLvlLbl val="0"/>
      </c:catAx>
      <c:valAx>
        <c:axId val="144385920"/>
        <c:scaling>
          <c:orientation val="minMax"/>
          <c:max val="1.5"/>
          <c:min val="0.5"/>
        </c:scaling>
        <c:delete val="0"/>
        <c:axPos val="l"/>
        <c:majorGridlines>
          <c:spPr>
            <a:ln w="3175">
              <a:solidFill>
                <a:srgbClr val="C0C0C0"/>
              </a:solidFill>
              <a:prstDash val="sysDash"/>
            </a:ln>
          </c:spPr>
        </c:majorGridlines>
        <c:numFmt formatCode="0.00" sourceLinked="0"/>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Times New Roman"/>
                <a:ea typeface="Times New Roman"/>
                <a:cs typeface="Times New Roman"/>
              </a:defRPr>
            </a:pPr>
            <a:endParaRPr lang="en-US"/>
          </a:p>
        </c:txPr>
        <c:crossAx val="144384000"/>
        <c:crosses val="autoZero"/>
        <c:crossBetween val="midCat"/>
        <c:majorUnit val="0.1"/>
      </c:valAx>
      <c:spPr>
        <a:solidFill>
          <a:srgbClr val="FFFFFF"/>
        </a:solidFill>
        <a:ln w="25400">
          <a:noFill/>
        </a:ln>
      </c:spPr>
    </c:plotArea>
    <c:legend>
      <c:legendPos val="b"/>
      <c:layout>
        <c:manualLayout>
          <c:xMode val="edge"/>
          <c:yMode val="edge"/>
          <c:x val="0.19337055243785117"/>
          <c:y val="0.88947368421052631"/>
          <c:w val="0.69245051550876568"/>
          <c:h val="9.4736842105265118E-2"/>
        </c:manualLayout>
      </c:layout>
      <c:overlay val="0"/>
      <c:spPr>
        <a:solidFill>
          <a:srgbClr val="FFFFFF"/>
        </a:solidFill>
        <a:ln w="25400">
          <a:noFill/>
        </a:ln>
      </c:spPr>
      <c:txPr>
        <a:bodyPr/>
        <a:lstStyle/>
        <a:p>
          <a:pPr>
            <a:defRPr sz="137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44" r="0.75000000000000444"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4349404954521"/>
          <c:y val="5.9548314325103414E-2"/>
          <c:w val="0.72789486930572089"/>
          <c:h val="0.71826785676723626"/>
        </c:manualLayout>
      </c:layout>
      <c:scatterChart>
        <c:scatterStyle val="lineMarker"/>
        <c:varyColors val="0"/>
        <c:ser>
          <c:idx val="0"/>
          <c:order val="0"/>
          <c:tx>
            <c:strRef>
              <c:f>'Espérances de vie'!$J$5</c:f>
              <c:strCache>
                <c:ptCount val="1"/>
                <c:pt idx="0">
                  <c:v>Obs. Y(x)</c:v>
                </c:pt>
              </c:strCache>
            </c:strRef>
          </c:tx>
          <c:spPr>
            <a:ln w="28575">
              <a:noFill/>
            </a:ln>
          </c:spPr>
          <c:marker>
            <c:symbol val="diamond"/>
            <c:size val="5"/>
            <c:spPr>
              <a:solidFill>
                <a:srgbClr val="000080"/>
              </a:solidFill>
              <a:ln>
                <a:solidFill>
                  <a:srgbClr val="000080"/>
                </a:solidFill>
                <a:prstDash val="solid"/>
              </a:ln>
            </c:spPr>
          </c:marker>
          <c:xVal>
            <c:numRef>
              <c:f>'Espérances de vie'!$L$9:$L$25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'Espérances de vie'!$J$9:$J$25</c:f>
              <c:numCache>
                <c:formatCode>0.0000_)</c:formatCode>
                <c:ptCount val="17"/>
                <c:pt idx="0">
                  <c:v>-2.3540103119136933</c:v>
                </c:pt>
                <c:pt idx="1">
                  <c:v>-2.0789958298972238</c:v>
                </c:pt>
                <c:pt idx="2">
                  <c:v>-1.7372744440826222</c:v>
                </c:pt>
                <c:pt idx="3">
                  <c:v>-1.3606936094353452</c:v>
                </c:pt>
                <c:pt idx="4">
                  <c:v>-1.0030642346627379</c:v>
                </c:pt>
                <c:pt idx="5">
                  <c:v>-0.72088107794896938</c:v>
                </c:pt>
                <c:pt idx="6">
                  <c:v>-0.49231342485197593</c:v>
                </c:pt>
                <c:pt idx="7">
                  <c:v>-0.31573139748448509</c:v>
                </c:pt>
                <c:pt idx="8">
                  <c:v>-0.16567103105629674</c:v>
                </c:pt>
                <c:pt idx="9">
                  <c:v>-9.7936676714946366E-3</c:v>
                </c:pt>
                <c:pt idx="10">
                  <c:v>0.13586613416545132</c:v>
                </c:pt>
                <c:pt idx="11">
                  <c:v>0.29000659165408205</c:v>
                </c:pt>
                <c:pt idx="12">
                  <c:v>0.46736561858706593</c:v>
                </c:pt>
                <c:pt idx="13">
                  <c:v>0.68313723710121921</c:v>
                </c:pt>
                <c:pt idx="14">
                  <c:v>0.9271851249243318</c:v>
                </c:pt>
                <c:pt idx="15">
                  <c:v>1.2156685002686314</c:v>
                </c:pt>
                <c:pt idx="16">
                  <c:v>#N/A</c:v>
                </c:pt>
              </c:numCache>
            </c:numRef>
          </c:yVal>
          <c:smooth val="0"/>
        </c:ser>
        <c:ser>
          <c:idx val="1"/>
          <c:order val="1"/>
          <c:tx>
            <c:strRef>
              <c:f>'Espérances de vie'!$M$5</c:f>
              <c:strCache>
                <c:ptCount val="1"/>
                <c:pt idx="0">
                  <c:v>Lissé Y(x)</c:v>
                </c:pt>
              </c:strCache>
            </c:strRef>
          </c:tx>
          <c:spPr>
            <a:ln w="12700">
              <a:solidFill>
                <a:srgbClr val="FF00FF"/>
              </a:solidFill>
              <a:prstDash val="solid"/>
            </a:ln>
          </c:spPr>
          <c:marker>
            <c:symbol val="none"/>
          </c:marker>
          <c:xVal>
            <c:numRef>
              <c:f>'Espérances de vie'!$L$9:$L$25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'Espérances de vie'!$M$9:$M$25</c:f>
              <c:numCache>
                <c:formatCode>0.0000_)</c:formatCode>
                <c:ptCount val="17"/>
                <c:pt idx="0">
                  <c:v>-1.9547922474261259</c:v>
                </c:pt>
                <c:pt idx="1">
                  <c:v>-1.6386300424017763</c:v>
                </c:pt>
                <c:pt idx="2">
                  <c:v>-1.4695821660976056</c:v>
                </c:pt>
                <c:pt idx="3">
                  <c:v>-1.2707230676809189</c:v>
                </c:pt>
                <c:pt idx="4">
                  <c:v>-1.0065251387568168</c:v>
                </c:pt>
                <c:pt idx="5">
                  <c:v>-0.72500361278427339</c:v>
                </c:pt>
                <c:pt idx="6">
                  <c:v>-0.48931384042851028</c:v>
                </c:pt>
                <c:pt idx="7">
                  <c:v>-0.29220420768275551</c:v>
                </c:pt>
                <c:pt idx="8">
                  <c:v>-0.13549134249584638</c:v>
                </c:pt>
                <c:pt idx="9">
                  <c:v>-9.1354346453409729E-3</c:v>
                </c:pt>
                <c:pt idx="10">
                  <c:v>0.11278994849847189</c:v>
                </c:pt>
                <c:pt idx="11">
                  <c:v>0.25365105549965</c:v>
                </c:pt>
                <c:pt idx="12">
                  <c:v>0.43927491173984612</c:v>
                </c:pt>
                <c:pt idx="13">
                  <c:v>0.67317216782451594</c:v>
                </c:pt>
                <c:pt idx="14">
                  <c:v>0.97030751148133287</c:v>
                </c:pt>
                <c:pt idx="15">
                  <c:v>1.3778689436789635</c:v>
                </c:pt>
                <c:pt idx="16">
                  <c:v>1.9541607262732337</c:v>
                </c:pt>
              </c:numCache>
            </c:numRef>
          </c:yVal>
          <c:smooth val="0"/>
        </c:ser>
        <c:dLbls>
          <c:showLegendKey val="0"/>
          <c:showVal val="0"/>
          <c:showCatName val="0"/>
          <c:showSerName val="0"/>
          <c:showPercent val="0"/>
          <c:showBubbleSize val="0"/>
        </c:dLbls>
        <c:axId val="198968448"/>
        <c:axId val="199513984"/>
      </c:scatterChart>
      <c:valAx>
        <c:axId val="198968448"/>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ZA" sz="1500" b="1" i="0" u="none" strike="noStrike" baseline="0">
                    <a:solidFill>
                      <a:srgbClr val="000000"/>
                    </a:solidFill>
                    <a:latin typeface="Times New Roman"/>
                    <a:cs typeface="Times New Roman"/>
                  </a:rPr>
                  <a:t>Y</a:t>
                </a:r>
                <a:r>
                  <a:rPr lang="en-ZA" sz="1500" b="1" i="0" u="none" strike="noStrike" baseline="-25000">
                    <a:solidFill>
                      <a:srgbClr val="000000"/>
                    </a:solidFill>
                    <a:latin typeface="Times New Roman"/>
                    <a:cs typeface="Times New Roman"/>
                  </a:rPr>
                  <a:t>s</a:t>
                </a:r>
                <a:r>
                  <a:rPr lang="en-ZA" sz="1500" b="1" i="0" u="none" strike="noStrike" baseline="0">
                    <a:solidFill>
                      <a:srgbClr val="000000"/>
                    </a:solidFill>
                    <a:latin typeface="Times New Roman"/>
                    <a:cs typeface="Times New Roman"/>
                  </a:rPr>
                  <a:t>(x)</a:t>
                </a:r>
              </a:p>
            </c:rich>
          </c:tx>
          <c:layout>
            <c:manualLayout>
              <c:xMode val="edge"/>
              <c:yMode val="edge"/>
              <c:x val="0.4382357171107038"/>
              <c:y val="0.85643011898668497"/>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99513984"/>
        <c:crossesAt val="0"/>
        <c:crossBetween val="midCat"/>
      </c:valAx>
      <c:valAx>
        <c:axId val="199513984"/>
        <c:scaling>
          <c:orientation val="minMax"/>
        </c:scaling>
        <c:delete val="0"/>
        <c:axPos val="l"/>
        <c:title>
          <c:tx>
            <c:rich>
              <a:bodyPr/>
              <a:lstStyle/>
              <a:p>
                <a:pPr>
                  <a:defRPr sz="1500" b="1" i="0" u="none" strike="noStrike" baseline="0">
                    <a:solidFill>
                      <a:srgbClr val="000000"/>
                    </a:solidFill>
                    <a:latin typeface="Times New Roman"/>
                    <a:ea typeface="Times New Roman"/>
                    <a:cs typeface="Times New Roman"/>
                  </a:defRPr>
                </a:pPr>
                <a:r>
                  <a:rPr lang="en-ZA"/>
                  <a:t>Y(x)</a:t>
                </a:r>
              </a:p>
            </c:rich>
          </c:tx>
          <c:layout>
            <c:manualLayout>
              <c:xMode val="edge"/>
              <c:yMode val="edge"/>
              <c:x val="1.6666666666666701E-2"/>
              <c:y val="0.37987722787218664"/>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98968448"/>
        <c:crossesAt val="0"/>
        <c:crossBetween val="midCat"/>
      </c:valAx>
      <c:spPr>
        <a:noFill/>
        <a:ln w="25400">
          <a:noFill/>
        </a:ln>
      </c:spPr>
    </c:plotArea>
    <c:legend>
      <c:legendPos val="b"/>
      <c:layout>
        <c:manualLayout>
          <c:xMode val="edge"/>
          <c:yMode val="edge"/>
          <c:x val="0.34117677937317048"/>
          <c:y val="0.92402550297229269"/>
          <c:w val="0.23823549997426982"/>
          <c:h val="5.9548254620123413E-2"/>
        </c:manualLayout>
      </c:layout>
      <c:overlay val="0"/>
      <c:spPr>
        <a:noFill/>
        <a:ln w="25400">
          <a:noFill/>
        </a:ln>
      </c:spPr>
      <c:txPr>
        <a:bodyPr/>
        <a:lstStyle/>
        <a:p>
          <a:pPr>
            <a:defRPr sz="108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66" r="0.75000000000000466"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67021560228218"/>
          <c:y val="4.4768224536449408E-2"/>
          <c:w val="0.63851371287392689"/>
          <c:h val="0.82426054102108159"/>
        </c:manualLayout>
      </c:layout>
      <c:scatterChart>
        <c:scatterStyle val="lineMarker"/>
        <c:varyColors val="0"/>
        <c:ser>
          <c:idx val="1"/>
          <c:order val="0"/>
          <c:tx>
            <c:v>Taux corrigés lissés</c:v>
          </c:tx>
          <c:spPr>
            <a:ln w="15875">
              <a:solidFill>
                <a:srgbClr val="FF00FF"/>
              </a:solidFill>
            </a:ln>
          </c:spPr>
          <c:marker>
            <c:symbol val="none"/>
          </c:marker>
          <c:xVal>
            <c:numRef>
              <c:f>'Espérances de vie'!$R$8:$R$24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'Espérances de vie'!$Q$8:$Q$24</c:f>
              <c:numCache>
                <c:formatCode>0.0000</c:formatCode>
                <c:ptCount val="17"/>
                <c:pt idx="0">
                  <c:v>3.9699693251408789E-3</c:v>
                </c:pt>
                <c:pt idx="1">
                  <c:v>3.4372311682315214E-3</c:v>
                </c:pt>
                <c:pt idx="2">
                  <c:v>2.9040712238350952E-3</c:v>
                </c:pt>
                <c:pt idx="3">
                  <c:v>4.8492680398448647E-3</c:v>
                </c:pt>
                <c:pt idx="4">
                  <c:v>9.9131845636803839E-3</c:v>
                </c:pt>
                <c:pt idx="5">
                  <c:v>1.7057708862110894E-2</c:v>
                </c:pt>
                <c:pt idx="6">
                  <c:v>2.1645444591530515E-2</c:v>
                </c:pt>
                <c:pt idx="7">
                  <c:v>2.4765470453207317E-2</c:v>
                </c:pt>
                <c:pt idx="8">
                  <c:v>2.4721702987273737E-2</c:v>
                </c:pt>
                <c:pt idx="9">
                  <c:v>2.3422500377541698E-2</c:v>
                </c:pt>
                <c:pt idx="10">
                  <c:v>2.5611115762726403E-2</c:v>
                </c:pt>
                <c:pt idx="11">
                  <c:v>3.319230611288209E-2</c:v>
                </c:pt>
                <c:pt idx="12">
                  <c:v>4.9213950783974773E-2</c:v>
                </c:pt>
                <c:pt idx="13">
                  <c:v>6.9615140266302347E-2</c:v>
                </c:pt>
                <c:pt idx="14">
                  <c:v>9.7441487582485234E-2</c:v>
                </c:pt>
                <c:pt idx="15">
                  <c:v>0.14204288859754108</c:v>
                </c:pt>
                <c:pt idx="16">
                  <c:v>0.201827822201125</c:v>
                </c:pt>
              </c:numCache>
            </c:numRef>
          </c:yVal>
          <c:smooth val="0"/>
        </c:ser>
        <c:ser>
          <c:idx val="0"/>
          <c:order val="1"/>
          <c:tx>
            <c:v>Taux observés corrigés</c:v>
          </c:tx>
          <c:spPr>
            <a:ln>
              <a:noFill/>
            </a:ln>
          </c:spPr>
          <c:marker>
            <c:symbol val="diamond"/>
            <c:size val="5"/>
            <c:spPr>
              <a:solidFill>
                <a:schemeClr val="tx2"/>
              </a:solidFill>
              <a:ln>
                <a:solidFill>
                  <a:schemeClr val="tx2"/>
                </a:solidFill>
              </a:ln>
            </c:spPr>
          </c:marker>
          <c:xVal>
            <c:numRef>
              <c:f>'Espérances de vie'!$R$8:$R$24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'Espérances de vie'!$F$8:$F$24</c:f>
              <c:numCache>
                <c:formatCode>0.0000</c:formatCode>
                <c:ptCount val="17"/>
                <c:pt idx="0">
                  <c:v>1.796419610339689E-3</c:v>
                </c:pt>
                <c:pt idx="1">
                  <c:v>1.307145011862898E-3</c:v>
                </c:pt>
                <c:pt idx="2">
                  <c:v>2.9975098349201714E-3</c:v>
                </c:pt>
                <c:pt idx="3">
                  <c:v>6.640272321668951E-3</c:v>
                </c:pt>
                <c:pt idx="4">
                  <c:v>1.2493794604687183E-2</c:v>
                </c:pt>
                <c:pt idx="5">
                  <c:v>1.7208162293952677E-2</c:v>
                </c:pt>
                <c:pt idx="6">
                  <c:v>2.1005868754943962E-2</c:v>
                </c:pt>
                <c:pt idx="7">
                  <c:v>2.1784971045875189E-2</c:v>
                </c:pt>
                <c:pt idx="8">
                  <c:v>2.2911908199022571E-2</c:v>
                </c:pt>
                <c:pt idx="9">
                  <c:v>2.84049480553237E-2</c:v>
                </c:pt>
                <c:pt idx="10">
                  <c:v>3.0900985253573966E-2</c:v>
                </c:pt>
                <c:pt idx="11">
                  <c:v>3.7175260163955517E-2</c:v>
                </c:pt>
                <c:pt idx="12">
                  <c:v>4.8035124012757419E-2</c:v>
                </c:pt>
                <c:pt idx="13">
                  <c:v>6.4917817235941866E-2</c:v>
                </c:pt>
                <c:pt idx="14">
                  <c:v>8.0171571087267635E-2</c:v>
                </c:pt>
                <c:pt idx="15">
                  <c:v>0.10093041076400107</c:v>
                </c:pt>
                <c:pt idx="16">
                  <c:v>0.18099009913625627</c:v>
                </c:pt>
              </c:numCache>
            </c:numRef>
          </c:yVal>
          <c:smooth val="0"/>
        </c:ser>
        <c:dLbls>
          <c:showLegendKey val="0"/>
          <c:showVal val="0"/>
          <c:showCatName val="0"/>
          <c:showSerName val="0"/>
          <c:showPercent val="0"/>
          <c:showBubbleSize val="0"/>
        </c:dLbls>
        <c:axId val="143031296"/>
        <c:axId val="143033472"/>
      </c:scatterChart>
      <c:valAx>
        <c:axId val="143031296"/>
        <c:scaling>
          <c:orientation val="minMax"/>
          <c:max val="85"/>
          <c:min val="0"/>
        </c:scaling>
        <c:delete val="0"/>
        <c:axPos val="b"/>
        <c:numFmt formatCode="General" sourceLinked="1"/>
        <c:majorTickMark val="out"/>
        <c:minorTickMark val="none"/>
        <c:tickLblPos val="nextTo"/>
        <c:crossAx val="143033472"/>
        <c:crosses val="autoZero"/>
        <c:crossBetween val="midCat"/>
      </c:valAx>
      <c:valAx>
        <c:axId val="143033472"/>
        <c:scaling>
          <c:orientation val="minMax"/>
        </c:scaling>
        <c:delete val="0"/>
        <c:axPos val="l"/>
        <c:majorGridlines/>
        <c:title>
          <c:tx>
            <c:rich>
              <a:bodyPr rot="-5400000" vert="horz"/>
              <a:lstStyle/>
              <a:p>
                <a:pPr>
                  <a:defRPr/>
                </a:pPr>
                <a:r>
                  <a:rPr lang="en-US"/>
                  <a:t>5mx</a:t>
                </a:r>
              </a:p>
            </c:rich>
          </c:tx>
          <c:layout/>
          <c:overlay val="0"/>
        </c:title>
        <c:numFmt formatCode="0.00" sourceLinked="0"/>
        <c:majorTickMark val="out"/>
        <c:minorTickMark val="none"/>
        <c:tickLblPos val="nextTo"/>
        <c:crossAx val="143031296"/>
        <c:crosses val="autoZero"/>
        <c:crossBetween val="midCat"/>
      </c:valAx>
    </c:plotArea>
    <c:legend>
      <c:legendPos val="r"/>
      <c:layout>
        <c:manualLayout>
          <c:xMode val="edge"/>
          <c:yMode val="edge"/>
          <c:x val="0.77007891790050265"/>
          <c:y val="0.42708502667005332"/>
          <c:w val="0.21637706404080981"/>
          <c:h val="0.36032565740603184"/>
        </c:manualLayout>
      </c:layout>
      <c:overlay val="0"/>
      <c:spPr>
        <a:solidFill>
          <a:srgbClr val="FFEB9B"/>
        </a:solidFill>
      </c:spPr>
    </c:legend>
    <c:plotVisOnly val="1"/>
    <c:dispBlanksAs val="gap"/>
    <c:showDLblsOverMax val="0"/>
  </c:chart>
  <c:spPr>
    <a:ln>
      <a:noFill/>
    </a:ln>
  </c:spPr>
  <c:printSettings>
    <c:headerFooter/>
    <c:pageMargins b="0.750000000000002" l="0.70000000000000062" r="0.70000000000000062" t="0.75000000000000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96342989957195"/>
          <c:y val="0.1416466253392088"/>
          <c:w val="0.81583940463751714"/>
          <c:h val="0.7236842105263217"/>
        </c:manualLayout>
      </c:layout>
      <c:lineChart>
        <c:grouping val="standard"/>
        <c:varyColors val="0"/>
        <c:ser>
          <c:idx val="0"/>
          <c:order val="0"/>
          <c:tx>
            <c:v>c: N(x à x+5)</c:v>
          </c:tx>
          <c:spPr>
            <a:ln w="28575">
              <a:solidFill>
                <a:srgbClr val="000080"/>
              </a:solidFill>
              <a:prstDash val="solid"/>
            </a:ln>
          </c:spPr>
          <c:marker>
            <c:symbol val="none"/>
          </c:marker>
          <c:cat>
            <c:strRef>
              <c:f>Méthode!$A$8:$A$24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Méthode!$K$8:$K$24</c:f>
              <c:numCache>
                <c:formatCode>0.0000</c:formatCode>
                <c:ptCount val="17"/>
                <c:pt idx="1">
                  <c:v>0.87184025151995992</c:v>
                </c:pt>
                <c:pt idx="2">
                  <c:v>0.87884714710580636</c:v>
                </c:pt>
                <c:pt idx="3">
                  <c:v>0.88262238800732251</c:v>
                </c:pt>
                <c:pt idx="4">
                  <c:v>0.92850905652520588</c:v>
                </c:pt>
                <c:pt idx="5">
                  <c:v>0.94624457650268723</c:v>
                </c:pt>
                <c:pt idx="6">
                  <c:v>0.92631660073593458</c:v>
                </c:pt>
                <c:pt idx="7">
                  <c:v>0.89580081969439651</c:v>
                </c:pt>
                <c:pt idx="8">
                  <c:v>0.91463451589018929</c:v>
                </c:pt>
                <c:pt idx="9">
                  <c:v>0.95012579394598562</c:v>
                </c:pt>
                <c:pt idx="10">
                  <c:v>0.95298527817829481</c:v>
                </c:pt>
                <c:pt idx="11">
                  <c:v>0.94177135356642994</c:v>
                </c:pt>
                <c:pt idx="12">
                  <c:v>0.92154792579818778</c:v>
                </c:pt>
                <c:pt idx="13">
                  <c:v>0.89024977612237577</c:v>
                </c:pt>
                <c:pt idx="14">
                  <c:v>0.87141326330911795</c:v>
                </c:pt>
                <c:pt idx="15">
                  <c:v>0.91874179773672404</c:v>
                </c:pt>
                <c:pt idx="16">
                  <c:v>0.92791926880032949</c:v>
                </c:pt>
              </c:numCache>
            </c:numRef>
          </c:val>
          <c:smooth val="0"/>
        </c:ser>
        <c:ser>
          <c:idx val="1"/>
          <c:order val="1"/>
          <c:tx>
            <c:v>c: N(x à A)</c:v>
          </c:tx>
          <c:spPr>
            <a:ln w="28575">
              <a:solidFill>
                <a:srgbClr val="FF00FF"/>
              </a:solidFill>
              <a:prstDash val="solid"/>
            </a:ln>
          </c:spPr>
          <c:marker>
            <c:symbol val="none"/>
          </c:marker>
          <c:cat>
            <c:strRef>
              <c:f>Méthode!$A$8:$A$24</c:f>
              <c:strCache>
                <c:ptCount val="17"/>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75-79</c:v>
                </c:pt>
                <c:pt idx="16">
                  <c:v>80-84</c:v>
                </c:pt>
              </c:strCache>
            </c:strRef>
          </c:cat>
          <c:val>
            <c:numRef>
              <c:f>Méthode!$L$8:$L$24</c:f>
              <c:numCache>
                <c:formatCode>0.0000</c:formatCode>
                <c:ptCount val="17"/>
                <c:pt idx="1">
                  <c:v>0.90867089796663647</c:v>
                </c:pt>
                <c:pt idx="2">
                  <c:v>0.91393054261952678</c:v>
                </c:pt>
                <c:pt idx="3">
                  <c:v>0.91975758239839811</c:v>
                </c:pt>
                <c:pt idx="4">
                  <c:v>0.92721563281222685</c:v>
                </c:pt>
                <c:pt idx="5">
                  <c:v>0.92693417634027553</c:v>
                </c:pt>
                <c:pt idx="6">
                  <c:v>0.92234540356336858</c:v>
                </c:pt>
                <c:pt idx="7">
                  <c:v>0.92129531596609715</c:v>
                </c:pt>
                <c:pt idx="8">
                  <c:v>0.92884335644633642</c:v>
                </c:pt>
                <c:pt idx="9">
                  <c:v>0.93362132309735446</c:v>
                </c:pt>
                <c:pt idx="10">
                  <c:v>0.92740004920022701</c:v>
                </c:pt>
                <c:pt idx="11">
                  <c:v>0.91635919583284309</c:v>
                </c:pt>
                <c:pt idx="12">
                  <c:v>0.9040328539554715</c:v>
                </c:pt>
                <c:pt idx="13">
                  <c:v>0.89407338725404961</c:v>
                </c:pt>
                <c:pt idx="14">
                  <c:v>0.89686006425622866</c:v>
                </c:pt>
                <c:pt idx="15">
                  <c:v>0.92217723587775591</c:v>
                </c:pt>
                <c:pt idx="16">
                  <c:v>0.92791926880032949</c:v>
                </c:pt>
              </c:numCache>
            </c:numRef>
          </c:val>
          <c:smooth val="0"/>
        </c:ser>
        <c:dLbls>
          <c:showLegendKey val="0"/>
          <c:showVal val="0"/>
          <c:showCatName val="0"/>
          <c:showSerName val="0"/>
          <c:showPercent val="0"/>
          <c:showBubbleSize val="0"/>
        </c:dLbls>
        <c:marker val="1"/>
        <c:smooth val="0"/>
        <c:axId val="143046912"/>
        <c:axId val="143048704"/>
      </c:lineChart>
      <c:catAx>
        <c:axId val="14304691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Verdana" pitchFamily="34" charset="0"/>
                <a:ea typeface="Times New Roman"/>
                <a:cs typeface="Times New Roman"/>
              </a:defRPr>
            </a:pPr>
            <a:endParaRPr lang="en-US"/>
          </a:p>
        </c:txPr>
        <c:crossAx val="143048704"/>
        <c:crossesAt val="1"/>
        <c:auto val="0"/>
        <c:lblAlgn val="ctr"/>
        <c:lblOffset val="100"/>
        <c:tickLblSkip val="2"/>
        <c:tickMarkSkip val="1"/>
        <c:noMultiLvlLbl val="0"/>
      </c:catAx>
      <c:valAx>
        <c:axId val="143048704"/>
        <c:scaling>
          <c:orientation val="minMax"/>
          <c:max val="1.5"/>
          <c:min val="0.5"/>
        </c:scaling>
        <c:delete val="0"/>
        <c:axPos val="l"/>
        <c:majorGridlines>
          <c:spPr>
            <a:ln w="3175">
              <a:solidFill>
                <a:srgbClr val="C0C0C0"/>
              </a:solidFill>
              <a:prstDash val="sysDash"/>
            </a:ln>
          </c:spPr>
        </c:majorGridlines>
        <c:title>
          <c:tx>
            <c:rich>
              <a:bodyPr rot="-5400000" vert="horz"/>
              <a:lstStyle/>
              <a:p>
                <a:pPr>
                  <a:defRPr/>
                </a:pPr>
                <a:r>
                  <a:rPr lang="en-US" b="1" i="0" baseline="0">
                    <a:latin typeface="Verdana" pitchFamily="34" charset="0"/>
                  </a:rPr>
                  <a:t>Complétude</a:t>
                </a:r>
              </a:p>
            </c:rich>
          </c:tx>
          <c:layout/>
          <c:overlay val="0"/>
        </c:title>
        <c:numFmt formatCode="0.0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Verdana" pitchFamily="34" charset="0"/>
                <a:ea typeface="Times New Roman"/>
                <a:cs typeface="Times New Roman"/>
              </a:defRPr>
            </a:pPr>
            <a:endParaRPr lang="en-US"/>
          </a:p>
        </c:txPr>
        <c:crossAx val="143046912"/>
        <c:crosses val="autoZero"/>
        <c:crossBetween val="midCat"/>
        <c:majorUnit val="0.1"/>
      </c:valAx>
      <c:spPr>
        <a:solidFill>
          <a:srgbClr val="FFFFFF"/>
        </a:solidFill>
        <a:ln w="25400">
          <a:noFill/>
        </a:ln>
      </c:spPr>
    </c:plotArea>
    <c:legend>
      <c:legendPos val="b"/>
      <c:layout>
        <c:manualLayout>
          <c:xMode val="edge"/>
          <c:yMode val="edge"/>
          <c:x val="0.19337055243785117"/>
          <c:y val="0.88947368421052631"/>
          <c:w val="0.69245051550876568"/>
          <c:h val="9.4736842105265215E-2"/>
        </c:manualLayout>
      </c:layout>
      <c:overlay val="0"/>
      <c:spPr>
        <a:noFill/>
        <a:ln w="25400">
          <a:noFill/>
        </a:ln>
      </c:spPr>
      <c:txPr>
        <a:bodyPr/>
        <a:lstStyle/>
        <a:p>
          <a:pPr>
            <a:defRPr sz="137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D7E6E6"/>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66" r="0.75000000000000466"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408"/>
          <c:y val="0.15722823340825598"/>
          <c:w val="0.75212009351544584"/>
          <c:h val="0.63414005192270861"/>
        </c:manualLayout>
      </c:layout>
      <c:scatterChart>
        <c:scatterStyle val="lineMarker"/>
        <c:varyColors val="0"/>
        <c:ser>
          <c:idx val="0"/>
          <c:order val="0"/>
          <c:tx>
            <c:v>Observations</c:v>
          </c:tx>
          <c:spPr>
            <a:ln>
              <a:noFill/>
            </a:ln>
          </c:spPr>
          <c:marker>
            <c:symbol val="square"/>
            <c:size val="5"/>
          </c:marker>
          <c:xVal>
            <c:numRef>
              <c:f>'Espérances de vie'!$L$9:$L$25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'Espérances de vie'!$J$9:$J$25</c:f>
              <c:numCache>
                <c:formatCode>0.0000_)</c:formatCode>
                <c:ptCount val="17"/>
                <c:pt idx="0">
                  <c:v>-2.3540103119136933</c:v>
                </c:pt>
                <c:pt idx="1">
                  <c:v>-2.0789958298972238</c:v>
                </c:pt>
                <c:pt idx="2">
                  <c:v>-1.7372744440826222</c:v>
                </c:pt>
                <c:pt idx="3">
                  <c:v>-1.3606936094353452</c:v>
                </c:pt>
                <c:pt idx="4">
                  <c:v>-1.0030642346627379</c:v>
                </c:pt>
                <c:pt idx="5">
                  <c:v>-0.72088107794896938</c:v>
                </c:pt>
                <c:pt idx="6">
                  <c:v>-0.49231342485197593</c:v>
                </c:pt>
                <c:pt idx="7">
                  <c:v>-0.31573139748448509</c:v>
                </c:pt>
                <c:pt idx="8">
                  <c:v>-0.16567103105629674</c:v>
                </c:pt>
                <c:pt idx="9">
                  <c:v>-9.7936676714946366E-3</c:v>
                </c:pt>
                <c:pt idx="10">
                  <c:v>0.13586613416545132</c:v>
                </c:pt>
                <c:pt idx="11">
                  <c:v>0.29000659165408205</c:v>
                </c:pt>
                <c:pt idx="12">
                  <c:v>0.46736561858706593</c:v>
                </c:pt>
                <c:pt idx="13">
                  <c:v>0.68313723710121921</c:v>
                </c:pt>
                <c:pt idx="14">
                  <c:v>0.9271851249243318</c:v>
                </c:pt>
                <c:pt idx="15">
                  <c:v>1.2156685002686314</c:v>
                </c:pt>
                <c:pt idx="16">
                  <c:v>#N/A</c:v>
                </c:pt>
              </c:numCache>
            </c:numRef>
          </c:yVal>
          <c:smooth val="0"/>
        </c:ser>
        <c:ser>
          <c:idx val="1"/>
          <c:order val="1"/>
          <c:tx>
            <c:v>Lissage</c:v>
          </c:tx>
          <c:spPr>
            <a:ln>
              <a:solidFill>
                <a:srgbClr val="FF66FF"/>
              </a:solidFill>
              <a:prstDash val="solid"/>
            </a:ln>
          </c:spPr>
          <c:marker>
            <c:symbol val="none"/>
          </c:marker>
          <c:xVal>
            <c:numRef>
              <c:f>'Espérances de vie'!$L$9:$L$25</c:f>
              <c:numCache>
                <c:formatCode>0.0000_)</c:formatCode>
                <c:ptCount val="17"/>
                <c:pt idx="0">
                  <c:v>-1.9081135795731925</c:v>
                </c:pt>
                <c:pt idx="1">
                  <c:v>-1.6326125112156291</c:v>
                </c:pt>
                <c:pt idx="2">
                  <c:v>-1.4853056232155615</c:v>
                </c:pt>
                <c:pt idx="3">
                  <c:v>-1.3120214886929051</c:v>
                </c:pt>
                <c:pt idx="4">
                  <c:v>-1.0818016505220522</c:v>
                </c:pt>
                <c:pt idx="5">
                  <c:v>-0.83648617657059132</c:v>
                </c:pt>
                <c:pt idx="6">
                  <c:v>-0.63110810464082734</c:v>
                </c:pt>
                <c:pt idx="7">
                  <c:v>-0.45934843969023603</c:v>
                </c:pt>
                <c:pt idx="8">
                  <c:v>-0.32279017593115344</c:v>
                </c:pt>
                <c:pt idx="9">
                  <c:v>-0.21268470774774717</c:v>
                </c:pt>
                <c:pt idx="10">
                  <c:v>-0.10643996127832432</c:v>
                </c:pt>
                <c:pt idx="11">
                  <c:v>1.6305214622333544E-2</c:v>
                </c:pt>
                <c:pt idx="12">
                  <c:v>0.17805627118169123</c:v>
                </c:pt>
                <c:pt idx="13">
                  <c:v>0.38187235961094013</c:v>
                </c:pt>
                <c:pt idx="14">
                  <c:v>0.64079358208261483</c:v>
                </c:pt>
                <c:pt idx="15">
                  <c:v>0.99593916307683372</c:v>
                </c:pt>
                <c:pt idx="16">
                  <c:v>1.4981149426839451</c:v>
                </c:pt>
              </c:numCache>
            </c:numRef>
          </c:xVal>
          <c:yVal>
            <c:numRef>
              <c:f>'Espérances de vie'!$M$9:$M$25</c:f>
              <c:numCache>
                <c:formatCode>0.0000_)</c:formatCode>
                <c:ptCount val="17"/>
                <c:pt idx="0">
                  <c:v>-1.9547922474261259</c:v>
                </c:pt>
                <c:pt idx="1">
                  <c:v>-1.6386300424017763</c:v>
                </c:pt>
                <c:pt idx="2">
                  <c:v>-1.4695821660976056</c:v>
                </c:pt>
                <c:pt idx="3">
                  <c:v>-1.2707230676809189</c:v>
                </c:pt>
                <c:pt idx="4">
                  <c:v>-1.0065251387568168</c:v>
                </c:pt>
                <c:pt idx="5">
                  <c:v>-0.72500361278427339</c:v>
                </c:pt>
                <c:pt idx="6">
                  <c:v>-0.48931384042851028</c:v>
                </c:pt>
                <c:pt idx="7">
                  <c:v>-0.29220420768275551</c:v>
                </c:pt>
                <c:pt idx="8">
                  <c:v>-0.13549134249584638</c:v>
                </c:pt>
                <c:pt idx="9">
                  <c:v>-9.1354346453409729E-3</c:v>
                </c:pt>
                <c:pt idx="10">
                  <c:v>0.11278994849847189</c:v>
                </c:pt>
                <c:pt idx="11">
                  <c:v>0.25365105549965</c:v>
                </c:pt>
                <c:pt idx="12">
                  <c:v>0.43927491173984612</c:v>
                </c:pt>
                <c:pt idx="13">
                  <c:v>0.67317216782451594</c:v>
                </c:pt>
                <c:pt idx="14">
                  <c:v>0.97030751148133287</c:v>
                </c:pt>
                <c:pt idx="15">
                  <c:v>1.3778689436789635</c:v>
                </c:pt>
                <c:pt idx="16">
                  <c:v>1.9541607262732337</c:v>
                </c:pt>
              </c:numCache>
            </c:numRef>
          </c:yVal>
          <c:smooth val="0"/>
        </c:ser>
        <c:dLbls>
          <c:showLegendKey val="0"/>
          <c:showVal val="0"/>
          <c:showCatName val="0"/>
          <c:showSerName val="0"/>
          <c:showPercent val="0"/>
          <c:showBubbleSize val="0"/>
        </c:dLbls>
        <c:axId val="143135488"/>
        <c:axId val="143137408"/>
      </c:scatterChart>
      <c:valAx>
        <c:axId val="143135488"/>
        <c:scaling>
          <c:orientation val="minMax"/>
        </c:scaling>
        <c:delete val="0"/>
        <c:axPos val="b"/>
        <c:title>
          <c:tx>
            <c:rich>
              <a:bodyPr/>
              <a:lstStyle/>
              <a:p>
                <a:pPr>
                  <a:defRPr/>
                </a:pPr>
                <a:r>
                  <a:rPr lang="en-US"/>
                  <a:t>Ys(x)</a:t>
                </a:r>
              </a:p>
            </c:rich>
          </c:tx>
          <c:layout/>
          <c:overlay val="0"/>
        </c:title>
        <c:numFmt formatCode="0.00" sourceLinked="0"/>
        <c:majorTickMark val="out"/>
        <c:minorTickMark val="none"/>
        <c:tickLblPos val="low"/>
        <c:crossAx val="143137408"/>
        <c:crossesAt val="0"/>
        <c:crossBetween val="midCat"/>
      </c:valAx>
      <c:valAx>
        <c:axId val="143137408"/>
        <c:scaling>
          <c:orientation val="minMax"/>
        </c:scaling>
        <c:delete val="0"/>
        <c:axPos val="l"/>
        <c:majorGridlines>
          <c:spPr>
            <a:ln>
              <a:noFill/>
            </a:ln>
          </c:spPr>
        </c:majorGridlines>
        <c:title>
          <c:tx>
            <c:rich>
              <a:bodyPr rot="-5400000" vert="horz"/>
              <a:lstStyle/>
              <a:p>
                <a:pPr>
                  <a:defRPr/>
                </a:pPr>
                <a:r>
                  <a:rPr lang="en-US"/>
                  <a:t>Y(x)</a:t>
                </a:r>
              </a:p>
            </c:rich>
          </c:tx>
          <c:layout/>
          <c:overlay val="0"/>
        </c:title>
        <c:numFmt formatCode="0.00" sourceLinked="0"/>
        <c:majorTickMark val="out"/>
        <c:minorTickMark val="none"/>
        <c:tickLblPos val="low"/>
        <c:crossAx val="143135488"/>
        <c:crossesAt val="0"/>
        <c:crossBetween val="midCat"/>
      </c:valAx>
      <c:spPr>
        <a:solidFill>
          <a:schemeClr val="bg1"/>
        </a:solidFill>
      </c:spPr>
    </c:plotArea>
    <c:legend>
      <c:legendPos val="b"/>
      <c:layout/>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44" l="0.70000000000000062" r="0.70000000000000062" t="0.750000000000002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42229605020419"/>
          <c:y val="0.15722823340825604"/>
          <c:w val="0.75212009351544606"/>
          <c:h val="0.63414005192270861"/>
        </c:manualLayout>
      </c:layout>
      <c:scatterChart>
        <c:scatterStyle val="lineMarker"/>
        <c:varyColors val="0"/>
        <c:ser>
          <c:idx val="0"/>
          <c:order val="0"/>
          <c:tx>
            <c:v>Taux corrigés</c:v>
          </c:tx>
          <c:spPr>
            <a:ln>
              <a:noFill/>
            </a:ln>
          </c:spPr>
          <c:marker>
            <c:symbol val="square"/>
            <c:size val="5"/>
          </c:marker>
          <c:xVal>
            <c:numRef>
              <c:f>'Espérances de vie'!$G$8:$G$24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'Espérances de vie'!$F$8:$F$24</c:f>
              <c:numCache>
                <c:formatCode>0.0000</c:formatCode>
                <c:ptCount val="17"/>
                <c:pt idx="0">
                  <c:v>1.796419610339689E-3</c:v>
                </c:pt>
                <c:pt idx="1">
                  <c:v>1.307145011862898E-3</c:v>
                </c:pt>
                <c:pt idx="2">
                  <c:v>2.9975098349201714E-3</c:v>
                </c:pt>
                <c:pt idx="3">
                  <c:v>6.640272321668951E-3</c:v>
                </c:pt>
                <c:pt idx="4">
                  <c:v>1.2493794604687183E-2</c:v>
                </c:pt>
                <c:pt idx="5">
                  <c:v>1.7208162293952677E-2</c:v>
                </c:pt>
                <c:pt idx="6">
                  <c:v>2.1005868754943962E-2</c:v>
                </c:pt>
                <c:pt idx="7">
                  <c:v>2.1784971045875189E-2</c:v>
                </c:pt>
                <c:pt idx="8">
                  <c:v>2.2911908199022571E-2</c:v>
                </c:pt>
                <c:pt idx="9">
                  <c:v>2.84049480553237E-2</c:v>
                </c:pt>
                <c:pt idx="10">
                  <c:v>3.0900985253573966E-2</c:v>
                </c:pt>
                <c:pt idx="11">
                  <c:v>3.7175260163955517E-2</c:v>
                </c:pt>
                <c:pt idx="12">
                  <c:v>4.8035124012757419E-2</c:v>
                </c:pt>
                <c:pt idx="13">
                  <c:v>6.4917817235941866E-2</c:v>
                </c:pt>
                <c:pt idx="14">
                  <c:v>8.0171571087267635E-2</c:v>
                </c:pt>
                <c:pt idx="15">
                  <c:v>0.10093041076400107</c:v>
                </c:pt>
                <c:pt idx="16">
                  <c:v>0.18099009913625627</c:v>
                </c:pt>
              </c:numCache>
            </c:numRef>
          </c:yVal>
          <c:smooth val="0"/>
        </c:ser>
        <c:ser>
          <c:idx val="1"/>
          <c:order val="1"/>
          <c:tx>
            <c:v>Taux lissés</c:v>
          </c:tx>
          <c:spPr>
            <a:ln w="28575">
              <a:solidFill>
                <a:srgbClr val="FF00FF"/>
              </a:solidFill>
            </a:ln>
          </c:spPr>
          <c:marker>
            <c:symbol val="none"/>
          </c:marker>
          <c:xVal>
            <c:numRef>
              <c:f>'Espérances de vie'!$G$8:$G$24</c:f>
              <c:numCache>
                <c:formatCode>General</c:formatCode>
                <c:ptCount val="17"/>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pt idx="16">
                  <c:v>85</c:v>
                </c:pt>
              </c:numCache>
            </c:numRef>
          </c:xVal>
          <c:yVal>
            <c:numRef>
              <c:f>'Espérances de vie'!$Q$8:$Q$24</c:f>
              <c:numCache>
                <c:formatCode>0.0000</c:formatCode>
                <c:ptCount val="17"/>
                <c:pt idx="0">
                  <c:v>3.9699693251408789E-3</c:v>
                </c:pt>
                <c:pt idx="1">
                  <c:v>3.4372311682315214E-3</c:v>
                </c:pt>
                <c:pt idx="2">
                  <c:v>2.9040712238350952E-3</c:v>
                </c:pt>
                <c:pt idx="3">
                  <c:v>4.8492680398448647E-3</c:v>
                </c:pt>
                <c:pt idx="4">
                  <c:v>9.9131845636803839E-3</c:v>
                </c:pt>
                <c:pt idx="5">
                  <c:v>1.7057708862110894E-2</c:v>
                </c:pt>
                <c:pt idx="6">
                  <c:v>2.1645444591530515E-2</c:v>
                </c:pt>
                <c:pt idx="7">
                  <c:v>2.4765470453207317E-2</c:v>
                </c:pt>
                <c:pt idx="8">
                  <c:v>2.4721702987273737E-2</c:v>
                </c:pt>
                <c:pt idx="9">
                  <c:v>2.3422500377541698E-2</c:v>
                </c:pt>
                <c:pt idx="10">
                  <c:v>2.5611115762726403E-2</c:v>
                </c:pt>
                <c:pt idx="11">
                  <c:v>3.319230611288209E-2</c:v>
                </c:pt>
                <c:pt idx="12">
                  <c:v>4.9213950783974773E-2</c:v>
                </c:pt>
                <c:pt idx="13">
                  <c:v>6.9615140266302347E-2</c:v>
                </c:pt>
                <c:pt idx="14">
                  <c:v>9.7441487582485234E-2</c:v>
                </c:pt>
                <c:pt idx="15">
                  <c:v>0.14204288859754108</c:v>
                </c:pt>
                <c:pt idx="16">
                  <c:v>0.201827822201125</c:v>
                </c:pt>
              </c:numCache>
            </c:numRef>
          </c:yVal>
          <c:smooth val="0"/>
        </c:ser>
        <c:dLbls>
          <c:showLegendKey val="0"/>
          <c:showVal val="0"/>
          <c:showCatName val="0"/>
          <c:showSerName val="0"/>
          <c:showPercent val="0"/>
          <c:showBubbleSize val="0"/>
        </c:dLbls>
        <c:axId val="143150464"/>
        <c:axId val="143152256"/>
      </c:scatterChart>
      <c:valAx>
        <c:axId val="143150464"/>
        <c:scaling>
          <c:orientation val="minMax"/>
          <c:max val="85"/>
          <c:min val="0"/>
        </c:scaling>
        <c:delete val="0"/>
        <c:axPos val="b"/>
        <c:numFmt formatCode="0" sourceLinked="0"/>
        <c:majorTickMark val="out"/>
        <c:minorTickMark val="none"/>
        <c:tickLblPos val="nextTo"/>
        <c:crossAx val="143152256"/>
        <c:crosses val="autoZero"/>
        <c:crossBetween val="midCat"/>
      </c:valAx>
      <c:valAx>
        <c:axId val="143152256"/>
        <c:scaling>
          <c:orientation val="minMax"/>
        </c:scaling>
        <c:delete val="0"/>
        <c:axPos val="l"/>
        <c:majorGridlines/>
        <c:title>
          <c:tx>
            <c:rich>
              <a:bodyPr rot="-5400000" vert="horz"/>
              <a:lstStyle/>
              <a:p>
                <a:pPr>
                  <a:defRPr/>
                </a:pPr>
                <a:r>
                  <a:rPr lang="en-US"/>
                  <a:t>5mx</a:t>
                </a:r>
              </a:p>
            </c:rich>
          </c:tx>
          <c:layout/>
          <c:overlay val="0"/>
        </c:title>
        <c:numFmt formatCode="0.00" sourceLinked="0"/>
        <c:majorTickMark val="out"/>
        <c:minorTickMark val="none"/>
        <c:tickLblPos val="nextTo"/>
        <c:crossAx val="143150464"/>
        <c:crosses val="autoZero"/>
        <c:crossBetween val="midCat"/>
      </c:valAx>
      <c:spPr>
        <a:solidFill>
          <a:schemeClr val="bg1"/>
        </a:solidFill>
      </c:spPr>
    </c:plotArea>
    <c:legend>
      <c:legendPos val="b"/>
      <c:layout/>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66" l="0.70000000000000062" r="0.70000000000000062" t="0.75000000000000266"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14</xdr:col>
      <xdr:colOff>12700</xdr:colOff>
      <xdr:row>3</xdr:row>
      <xdr:rowOff>0</xdr:rowOff>
    </xdr:from>
    <xdr:to>
      <xdr:col>22</xdr:col>
      <xdr:colOff>558799</xdr:colOff>
      <xdr:row>21</xdr:row>
      <xdr:rowOff>152400</xdr:rowOff>
    </xdr:to>
    <xdr:graphicFrame macro="">
      <xdr:nvGraphicFramePr>
        <xdr:cNvPr id="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18</xdr:col>
      <xdr:colOff>63500</xdr:colOff>
      <xdr:row>0</xdr:row>
      <xdr:rowOff>1</xdr:rowOff>
    </xdr:from>
    <xdr:to>
      <xdr:col>26</xdr:col>
      <xdr:colOff>19050</xdr:colOff>
      <xdr:row>15</xdr:row>
      <xdr:rowOff>1</xdr:rowOff>
    </xdr:to>
    <xdr:graphicFrame macro="">
      <xdr:nvGraphicFramePr>
        <xdr:cNvPr id="2"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19050</xdr:colOff>
      <xdr:row>15</xdr:row>
      <xdr:rowOff>19050</xdr:rowOff>
    </xdr:from>
    <xdr:to>
      <xdr:col>26</xdr:col>
      <xdr:colOff>47625</xdr:colOff>
      <xdr:row>30</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608400</xdr:colOff>
      <xdr:row>36</xdr:row>
      <xdr:rowOff>24300</xdr:rowOff>
    </xdr:to>
    <xdr:graphicFrame macro="">
      <xdr:nvGraphicFramePr>
        <xdr:cNvPr id="3"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0</xdr:rowOff>
    </xdr:from>
    <xdr:to>
      <xdr:col>15</xdr:col>
      <xdr:colOff>591179</xdr:colOff>
      <xdr:row>74</xdr:row>
      <xdr:rowOff>28836</xdr:rowOff>
    </xdr:to>
    <xdr:grpSp>
      <xdr:nvGrpSpPr>
        <xdr:cNvPr id="4" name="Group 3"/>
        <xdr:cNvGrpSpPr/>
      </xdr:nvGrpSpPr>
      <xdr:grpSpPr>
        <a:xfrm>
          <a:off x="0" y="5873750"/>
          <a:ext cx="9798679" cy="5902586"/>
          <a:chOff x="0" y="0"/>
          <a:chExt cx="9822869" cy="5739300"/>
        </a:xfrm>
      </xdr:grpSpPr>
      <xdr:graphicFrame macro="">
        <xdr:nvGraphicFramePr>
          <xdr:cNvPr id="5" name="Chart 4"/>
          <xdr:cNvGraphicFramePr>
            <a:graphicFrameLocks/>
          </xdr:cNvGraphicFramePr>
        </xdr:nvGraphicFramePr>
        <xdr:xfrm>
          <a:off x="0" y="0"/>
          <a:ext cx="4912202" cy="573930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6" name="Chart 5"/>
          <xdr:cNvGraphicFramePr>
            <a:graphicFrameLocks/>
          </xdr:cNvGraphicFramePr>
        </xdr:nvGraphicFramePr>
        <xdr:xfrm>
          <a:off x="4910667" y="0"/>
          <a:ext cx="4912202" cy="57393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OBDOR~1/AppData/Local/Temp/XPgrpwise/Synthetic%20orphanhood%20method%20Keny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OBDOR~1/AppData/Local/Temp/XPgrpwise/AM_Orphanhood_OneCensus_AIDS%20Kenya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row r="11">
          <cell r="D11" t="str">
            <v>UN General</v>
          </cell>
        </row>
      </sheetData>
      <sheetData sheetId="1"/>
      <sheetData sheetId="2">
        <row r="1">
          <cell r="S1">
            <v>1999.65</v>
          </cell>
        </row>
        <row r="57">
          <cell r="D57">
            <v>26.750483870967741</v>
          </cell>
        </row>
      </sheetData>
      <sheetData sheetId="3">
        <row r="43">
          <cell r="C43">
            <v>32.96050811424012</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Charts"/>
    </sheetNames>
    <sheetDataSet>
      <sheetData sheetId="0">
        <row r="11">
          <cell r="D11" t="str">
            <v>Princeton South</v>
          </cell>
        </row>
      </sheetData>
      <sheetData sheetId="1"/>
      <sheetData sheetId="2">
        <row r="1">
          <cell r="T1">
            <v>1999.65</v>
          </cell>
        </row>
        <row r="43">
          <cell r="D43">
            <v>26.750483870967741</v>
          </cell>
        </row>
      </sheetData>
      <sheetData sheetId="3">
        <row r="31">
          <cell r="C31">
            <v>32.96050811424012</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emographicestimation.iussp.org/fr/content/m&#233;thode-de-l&#8217;extinction-des-cohortes-synth&#233;tiques" TargetMode="External"/><Relationship Id="rId1" Type="http://schemas.openxmlformats.org/officeDocument/2006/relationships/hyperlink" Target="http://demographicestimation.iussp.org/fr/content/m%C3%A9thode-de-l%E2%80%99extinction-des-cohortes-synth%C3%A9tique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9"/>
  <sheetViews>
    <sheetView showGridLines="0" tabSelected="1" workbookViewId="0">
      <selection activeCell="D1" sqref="D1"/>
    </sheetView>
  </sheetViews>
  <sheetFormatPr defaultColWidth="9.140625" defaultRowHeight="18.75" customHeight="1"/>
  <cols>
    <col min="1" max="1" width="7.7109375" style="6" customWidth="1"/>
    <col min="2" max="2" width="97.7109375" style="6" customWidth="1"/>
    <col min="3" max="3" width="39.85546875" style="6" customWidth="1"/>
    <col min="4" max="4" width="17.140625" style="6" customWidth="1"/>
    <col min="5" max="16384" width="9.140625" style="6"/>
  </cols>
  <sheetData>
    <row r="1" spans="1:4" ht="30" customHeight="1">
      <c r="A1" s="129" t="s">
        <v>69</v>
      </c>
      <c r="B1" s="130"/>
      <c r="D1" s="136"/>
    </row>
    <row r="2" spans="1:4" ht="18.75" customHeight="1">
      <c r="A2" s="41"/>
      <c r="B2" s="42"/>
    </row>
    <row r="3" spans="1:4" ht="18.75" customHeight="1">
      <c r="A3" s="131" t="s">
        <v>121</v>
      </c>
      <c r="B3" s="131"/>
    </row>
    <row r="4" spans="1:4" ht="18.75" customHeight="1">
      <c r="A4" s="135" t="s">
        <v>123</v>
      </c>
      <c r="B4" s="135"/>
    </row>
    <row r="6" spans="1:4" ht="120" customHeight="1">
      <c r="A6" s="132" t="s">
        <v>70</v>
      </c>
      <c r="B6" s="132"/>
    </row>
    <row r="7" spans="1:4" ht="18.75" customHeight="1" thickBot="1"/>
    <row r="8" spans="1:4" ht="18.75" customHeight="1" thickBot="1">
      <c r="A8" s="7" t="s">
        <v>32</v>
      </c>
      <c r="C8" s="133" t="s">
        <v>86</v>
      </c>
      <c r="D8" s="134"/>
    </row>
    <row r="9" spans="1:4" ht="15.75">
      <c r="A9" s="8">
        <v>1</v>
      </c>
      <c r="B9" s="127" t="s">
        <v>71</v>
      </c>
      <c r="C9" s="37" t="s">
        <v>83</v>
      </c>
      <c r="D9" s="123" t="s">
        <v>87</v>
      </c>
    </row>
    <row r="10" spans="1:4" ht="15.75">
      <c r="A10" s="10">
        <v>2</v>
      </c>
      <c r="B10" s="10" t="s">
        <v>72</v>
      </c>
      <c r="C10" s="38" t="s">
        <v>84</v>
      </c>
      <c r="D10" s="124" t="s">
        <v>124</v>
      </c>
    </row>
    <row r="11" spans="1:4" ht="45.75">
      <c r="A11" s="9">
        <v>3</v>
      </c>
      <c r="B11" s="42" t="s">
        <v>73</v>
      </c>
      <c r="C11" s="38" t="s">
        <v>85</v>
      </c>
      <c r="D11" s="124" t="s">
        <v>130</v>
      </c>
    </row>
    <row r="12" spans="1:4" ht="15.75">
      <c r="A12" s="9">
        <v>4</v>
      </c>
      <c r="B12" s="9" t="s">
        <v>74</v>
      </c>
      <c r="C12" s="39" t="s">
        <v>137</v>
      </c>
      <c r="D12" s="125">
        <v>37174</v>
      </c>
    </row>
    <row r="13" spans="1:4" ht="16.5" thickBot="1">
      <c r="A13" s="9">
        <v>5</v>
      </c>
      <c r="B13" s="9" t="s">
        <v>75</v>
      </c>
      <c r="C13" s="40" t="s">
        <v>138</v>
      </c>
      <c r="D13" s="126">
        <v>39128</v>
      </c>
    </row>
    <row r="14" spans="1:4" ht="15.75">
      <c r="A14" s="9">
        <v>6</v>
      </c>
      <c r="B14" s="9" t="s">
        <v>76</v>
      </c>
    </row>
    <row r="15" spans="1:4" ht="62.25">
      <c r="A15" s="9">
        <v>7</v>
      </c>
      <c r="B15" s="11" t="s">
        <v>122</v>
      </c>
    </row>
    <row r="16" spans="1:4" ht="30.75">
      <c r="A16" s="9">
        <v>8</v>
      </c>
      <c r="B16" s="128" t="s">
        <v>132</v>
      </c>
    </row>
    <row r="17" spans="1:2" ht="45.75">
      <c r="A17" s="9">
        <v>9</v>
      </c>
      <c r="B17" s="127" t="s">
        <v>77</v>
      </c>
    </row>
    <row r="18" spans="1:2" ht="30">
      <c r="A18" s="9"/>
      <c r="B18" s="128" t="s">
        <v>78</v>
      </c>
    </row>
    <row r="19" spans="1:2" ht="30.75">
      <c r="A19" s="9"/>
      <c r="B19" s="128" t="s">
        <v>133</v>
      </c>
    </row>
    <row r="20" spans="1:2" ht="60.75">
      <c r="A20" s="9"/>
      <c r="B20" s="128" t="s">
        <v>79</v>
      </c>
    </row>
    <row r="21" spans="1:2" ht="60.75">
      <c r="A21" s="9">
        <v>10</v>
      </c>
      <c r="B21" s="11" t="s">
        <v>134</v>
      </c>
    </row>
    <row r="22" spans="1:2" ht="31.5">
      <c r="A22" s="11">
        <v>11</v>
      </c>
      <c r="B22" s="11" t="s">
        <v>80</v>
      </c>
    </row>
    <row r="23" spans="1:2" ht="46.5">
      <c r="A23" s="9">
        <v>12</v>
      </c>
      <c r="B23" s="11" t="s">
        <v>135</v>
      </c>
    </row>
    <row r="24" spans="1:2" ht="60.75">
      <c r="A24" s="9">
        <v>13</v>
      </c>
      <c r="B24" s="11" t="s">
        <v>136</v>
      </c>
    </row>
    <row r="25" spans="1:2" ht="45.75">
      <c r="A25" s="9">
        <v>14</v>
      </c>
      <c r="B25" s="11" t="s">
        <v>81</v>
      </c>
    </row>
    <row r="26" spans="1:2" ht="15.75">
      <c r="A26" s="9">
        <v>15</v>
      </c>
      <c r="B26" s="9" t="s">
        <v>82</v>
      </c>
    </row>
    <row r="27" spans="1:2" ht="45" customHeight="1">
      <c r="A27" s="9"/>
      <c r="B27" s="11"/>
    </row>
    <row r="28" spans="1:2" ht="36" customHeight="1">
      <c r="A28" s="9"/>
      <c r="B28" s="11"/>
    </row>
    <row r="29" spans="1:2" ht="78" customHeight="1">
      <c r="A29" s="9"/>
      <c r="B29" s="11"/>
    </row>
    <row r="30" spans="1:2" ht="18.75" customHeight="1">
      <c r="A30" s="9"/>
      <c r="B30" s="11"/>
    </row>
    <row r="31" spans="1:2" ht="18.75" customHeight="1">
      <c r="A31" s="9"/>
      <c r="B31" s="11"/>
    </row>
    <row r="32" spans="1:2" ht="18.75" customHeight="1">
      <c r="A32" s="9"/>
      <c r="B32" s="11"/>
    </row>
    <row r="33" spans="1:2" ht="18.75" customHeight="1">
      <c r="A33" s="9"/>
      <c r="B33" s="11"/>
    </row>
    <row r="34" spans="1:2" ht="18.75" customHeight="1">
      <c r="A34" s="9"/>
      <c r="B34" s="11"/>
    </row>
    <row r="35" spans="1:2" ht="18.75" customHeight="1">
      <c r="A35" s="9"/>
      <c r="B35" s="11"/>
    </row>
    <row r="36" spans="1:2" ht="18.75" customHeight="1">
      <c r="A36" s="9"/>
      <c r="B36" s="11"/>
    </row>
    <row r="37" spans="1:2" ht="18.75" customHeight="1">
      <c r="A37" s="9"/>
      <c r="B37" s="11"/>
    </row>
    <row r="38" spans="1:2" ht="18.75" customHeight="1">
      <c r="A38" s="9"/>
      <c r="B38" s="11"/>
    </row>
    <row r="39" spans="1:2" ht="18.75" customHeight="1">
      <c r="A39" s="10"/>
      <c r="B39" s="12"/>
    </row>
    <row r="40" spans="1:2" ht="18.75" customHeight="1">
      <c r="A40" s="10"/>
      <c r="B40" s="12"/>
    </row>
    <row r="41" spans="1:2" ht="18.75" customHeight="1">
      <c r="A41" s="10"/>
      <c r="B41" s="12"/>
    </row>
    <row r="42" spans="1:2" ht="18.75" customHeight="1">
      <c r="A42" s="10"/>
      <c r="B42" s="12"/>
    </row>
    <row r="43" spans="1:2" ht="18.75" customHeight="1">
      <c r="A43" s="10"/>
      <c r="B43" s="12"/>
    </row>
    <row r="44" spans="1:2" ht="18.75" customHeight="1">
      <c r="A44" s="10"/>
      <c r="B44" s="12"/>
    </row>
    <row r="45" spans="1:2" ht="18.75" customHeight="1">
      <c r="A45" s="10"/>
      <c r="B45" s="10"/>
    </row>
    <row r="46" spans="1:2" ht="18.75" customHeight="1">
      <c r="A46" s="10"/>
      <c r="B46" s="10"/>
    </row>
    <row r="47" spans="1:2" ht="18.75" customHeight="1">
      <c r="A47" s="10"/>
      <c r="B47" s="10"/>
    </row>
    <row r="48" spans="1:2" ht="18.75" customHeight="1">
      <c r="A48" s="10"/>
      <c r="B48" s="10"/>
    </row>
    <row r="49" spans="1:2" ht="18.75" customHeight="1">
      <c r="A49" s="10"/>
      <c r="B49" s="10"/>
    </row>
    <row r="50" spans="1:2" ht="18.75" customHeight="1">
      <c r="A50" s="10"/>
      <c r="B50" s="10"/>
    </row>
    <row r="51" spans="1:2" ht="18.75" customHeight="1">
      <c r="A51" s="10"/>
      <c r="B51" s="10"/>
    </row>
    <row r="52" spans="1:2" ht="18.75" customHeight="1">
      <c r="A52" s="10"/>
      <c r="B52" s="10"/>
    </row>
    <row r="53" spans="1:2" ht="18.75" customHeight="1">
      <c r="A53" s="10"/>
      <c r="B53" s="10"/>
    </row>
    <row r="54" spans="1:2" ht="18.75" customHeight="1">
      <c r="A54" s="10"/>
      <c r="B54" s="10"/>
    </row>
    <row r="55" spans="1:2" ht="18.75" customHeight="1">
      <c r="A55" s="10"/>
      <c r="B55" s="10"/>
    </row>
    <row r="56" spans="1:2" ht="18.75" customHeight="1">
      <c r="A56" s="10"/>
      <c r="B56" s="10"/>
    </row>
    <row r="57" spans="1:2" ht="18.75" customHeight="1">
      <c r="A57" s="10"/>
      <c r="B57" s="10"/>
    </row>
    <row r="58" spans="1:2" ht="18.75" customHeight="1">
      <c r="A58" s="10"/>
      <c r="B58" s="10"/>
    </row>
    <row r="59" spans="1:2" ht="18.75" customHeight="1">
      <c r="A59" s="10"/>
      <c r="B59" s="10"/>
    </row>
    <row r="60" spans="1:2" ht="18.75" customHeight="1">
      <c r="A60" s="10"/>
      <c r="B60" s="10"/>
    </row>
    <row r="61" spans="1:2" ht="18.75" customHeight="1">
      <c r="A61" s="10"/>
      <c r="B61" s="10"/>
    </row>
    <row r="62" spans="1:2" ht="18.75" customHeight="1">
      <c r="A62" s="10"/>
      <c r="B62" s="10"/>
    </row>
    <row r="63" spans="1:2" ht="18.75" customHeight="1">
      <c r="A63" s="10"/>
      <c r="B63" s="10"/>
    </row>
    <row r="64" spans="1:2" ht="18.75" customHeight="1">
      <c r="A64" s="10"/>
      <c r="B64" s="10"/>
    </row>
    <row r="65" spans="1:2" ht="18.75" customHeight="1">
      <c r="A65" s="10"/>
      <c r="B65" s="10"/>
    </row>
    <row r="66" spans="1:2" ht="18.75" customHeight="1">
      <c r="A66" s="10"/>
      <c r="B66" s="10"/>
    </row>
    <row r="67" spans="1:2" ht="18.75" customHeight="1">
      <c r="A67" s="10"/>
      <c r="B67" s="10"/>
    </row>
    <row r="68" spans="1:2" ht="18.75" customHeight="1">
      <c r="A68" s="10"/>
      <c r="B68" s="10"/>
    </row>
    <row r="69" spans="1:2" ht="18.75" customHeight="1">
      <c r="A69" s="10"/>
      <c r="B69" s="10"/>
    </row>
  </sheetData>
  <sheetProtection sheet="1" objects="1" scenarios="1" selectLockedCells="1"/>
  <mergeCells count="5">
    <mergeCell ref="A1:B1"/>
    <mergeCell ref="A3:B3"/>
    <mergeCell ref="A4:B4"/>
    <mergeCell ref="A6:B6"/>
    <mergeCell ref="C8:D8"/>
  </mergeCells>
  <dataValidations count="2">
    <dataValidation type="list" showInputMessage="1" showErrorMessage="1" sqref="D11">
      <formula1>"NU Général,Princeton Est,Princeton Nord,Princeton Sud,Princeton Ouest,SIDA,Autre"</formula1>
    </dataValidation>
    <dataValidation type="list" showInputMessage="1" showErrorMessage="1" sqref="D10">
      <formula1>"Homme,Femme"</formula1>
    </dataValidation>
  </dataValidations>
  <hyperlinks>
    <hyperlink ref="A4" r:id="rId1" display="http://demographicestimation.iussp.org/fr/content/m%C3%A9thode-de-l%E2%80%99extinction-des-cohortes-synth%C3%A9tiques"/>
    <hyperlink ref="A4:B4" r:id="rId2" display="http://demographicestimation.iussp.org/fr/content/méthode-de-l’extinction-des-cohortes-synthétiques"/>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2"/>
  <sheetViews>
    <sheetView workbookViewId="0">
      <selection activeCell="I1" sqref="I1"/>
    </sheetView>
  </sheetViews>
  <sheetFormatPr defaultColWidth="9.140625" defaultRowHeight="15"/>
  <cols>
    <col min="1" max="1" width="7.7109375" style="14" customWidth="1"/>
    <col min="2" max="2" width="12" style="14" customWidth="1"/>
    <col min="3" max="6" width="14.5703125" style="14" customWidth="1"/>
    <col min="7" max="7" width="12.5703125" style="14" customWidth="1"/>
    <col min="8" max="8" width="12.140625" style="14" customWidth="1"/>
    <col min="9" max="9" width="4.5703125" style="14" customWidth="1"/>
    <col min="10" max="10" width="7.5703125" style="14" customWidth="1"/>
    <col min="11" max="15" width="12" style="14" customWidth="1"/>
    <col min="16" max="16" width="11.85546875" style="14" customWidth="1"/>
    <col min="17" max="17" width="10.85546875" style="14" customWidth="1"/>
    <col min="18" max="16384" width="9.140625" style="14"/>
  </cols>
  <sheetData>
    <row r="1" spans="1:17" ht="18.75">
      <c r="A1" s="13" t="s">
        <v>88</v>
      </c>
      <c r="G1" s="15" t="s">
        <v>89</v>
      </c>
      <c r="H1" s="16"/>
      <c r="J1" s="13" t="s">
        <v>90</v>
      </c>
      <c r="P1" s="15" t="s">
        <v>91</v>
      </c>
      <c r="Q1" s="16"/>
    </row>
    <row r="2" spans="1:17" ht="33" customHeight="1">
      <c r="A2" s="17" t="s">
        <v>1</v>
      </c>
      <c r="B2" s="137" t="s">
        <v>125</v>
      </c>
      <c r="C2" s="137" t="s">
        <v>126</v>
      </c>
      <c r="D2" s="137" t="s">
        <v>127</v>
      </c>
      <c r="E2" s="137" t="s">
        <v>128</v>
      </c>
      <c r="F2" s="137" t="s">
        <v>129</v>
      </c>
      <c r="G2" s="137" t="s">
        <v>130</v>
      </c>
      <c r="H2" s="137" t="s">
        <v>131</v>
      </c>
      <c r="J2" s="17" t="s">
        <v>1</v>
      </c>
      <c r="K2" s="137" t="s">
        <v>125</v>
      </c>
      <c r="L2" s="137" t="s">
        <v>126</v>
      </c>
      <c r="M2" s="137" t="s">
        <v>127</v>
      </c>
      <c r="N2" s="137" t="s">
        <v>128</v>
      </c>
      <c r="O2" s="137" t="s">
        <v>129</v>
      </c>
      <c r="P2" s="137" t="s">
        <v>130</v>
      </c>
      <c r="Q2" s="137" t="s">
        <v>131</v>
      </c>
    </row>
    <row r="3" spans="1:17">
      <c r="A3" s="18">
        <v>5</v>
      </c>
      <c r="B3" s="19">
        <v>-1.0557703137725243</v>
      </c>
      <c r="C3" s="19">
        <v>-1.0034528162299363</v>
      </c>
      <c r="D3" s="19">
        <v>-1.061325256602174</v>
      </c>
      <c r="E3" s="19">
        <v>-0.90879111177777439</v>
      </c>
      <c r="F3" s="19">
        <v>-1.0842444395521329</v>
      </c>
      <c r="G3" s="20">
        <v>-0.85180455224953355</v>
      </c>
      <c r="H3" s="21"/>
      <c r="J3" s="18">
        <v>5</v>
      </c>
      <c r="K3" s="19">
        <v>-1.1183426521790116</v>
      </c>
      <c r="L3" s="19">
        <v>-1.0839281949744348</v>
      </c>
      <c r="M3" s="19">
        <v>-1.1185632260148939</v>
      </c>
      <c r="N3" s="19">
        <v>-0.97803104804351482</v>
      </c>
      <c r="O3" s="19">
        <v>-1.1443836734991739</v>
      </c>
      <c r="P3" s="19">
        <v>-0.79829676250861992</v>
      </c>
      <c r="Q3" s="21"/>
    </row>
    <row r="4" spans="1:17">
      <c r="A4" s="18">
        <v>10</v>
      </c>
      <c r="B4" s="19">
        <v>-1.0059690881890577</v>
      </c>
      <c r="C4" s="19">
        <v>-0.96210277111891918</v>
      </c>
      <c r="D4" s="19">
        <v>-0.97867737240738273</v>
      </c>
      <c r="E4" s="19">
        <v>-0.87426674682746675</v>
      </c>
      <c r="F4" s="19">
        <v>-1.0329081865332934</v>
      </c>
      <c r="G4" s="19">
        <v>-0.799205207567936</v>
      </c>
      <c r="H4" s="21"/>
      <c r="J4" s="18">
        <v>10</v>
      </c>
      <c r="K4" s="19">
        <v>-1.0743948523980273</v>
      </c>
      <c r="L4" s="19">
        <v>-1.0472539080439389</v>
      </c>
      <c r="M4" s="19">
        <v>-1.0393562968308907</v>
      </c>
      <c r="N4" s="19">
        <v>-0.94784307566733739</v>
      </c>
      <c r="O4" s="19">
        <v>-1.0968312103313975</v>
      </c>
      <c r="P4" s="19">
        <v>-0.73689617552188336</v>
      </c>
      <c r="Q4" s="21"/>
    </row>
    <row r="5" spans="1:17">
      <c r="A5" s="18">
        <v>15</v>
      </c>
      <c r="B5" s="19">
        <v>-0.9778828398588445</v>
      </c>
      <c r="C5" s="19">
        <v>-0.93688771389348002</v>
      </c>
      <c r="D5" s="19">
        <v>-0.93456378789298888</v>
      </c>
      <c r="E5" s="19">
        <v>-0.85272014880258951</v>
      </c>
      <c r="F5" s="19">
        <v>-0.99562585121052949</v>
      </c>
      <c r="G5" s="19">
        <v>-0.77885315149743439</v>
      </c>
      <c r="H5" s="21"/>
      <c r="J5" s="18">
        <v>15</v>
      </c>
      <c r="K5" s="19">
        <v>-1.046640904616448</v>
      </c>
      <c r="L5" s="19">
        <v>-1.0232404683298353</v>
      </c>
      <c r="M5" s="19">
        <v>-0.99810318323243907</v>
      </c>
      <c r="N5" s="19">
        <v>-0.92724294571284704</v>
      </c>
      <c r="O5" s="19">
        <v>-1.0631132391187417</v>
      </c>
      <c r="P5" s="19">
        <v>-0.69613571586652812</v>
      </c>
      <c r="Q5" s="21"/>
    </row>
    <row r="6" spans="1:17">
      <c r="A6" s="18">
        <v>20</v>
      </c>
      <c r="B6" s="19">
        <v>-0.93810586936643969</v>
      </c>
      <c r="C6" s="19">
        <v>-0.90144694160929184</v>
      </c>
      <c r="D6" s="19">
        <v>-0.88577608039760869</v>
      </c>
      <c r="E6" s="19">
        <v>-0.82207221968309652</v>
      </c>
      <c r="F6" s="19">
        <v>-0.94491044364009291</v>
      </c>
      <c r="G6" s="19">
        <v>-0.73999984529103391</v>
      </c>
      <c r="H6" s="21"/>
      <c r="J6" s="18">
        <v>20</v>
      </c>
      <c r="K6" s="19">
        <v>-1.0066773582389617</v>
      </c>
      <c r="L6" s="19">
        <v>-0.98210627496614655</v>
      </c>
      <c r="M6" s="19">
        <v>-0.9416333856114224</v>
      </c>
      <c r="N6" s="19">
        <v>-0.89806980739238718</v>
      </c>
      <c r="O6" s="19">
        <v>-1.0130422551600544</v>
      </c>
      <c r="P6" s="19">
        <v>-0.66544049854843723</v>
      </c>
      <c r="Q6" s="21"/>
    </row>
    <row r="7" spans="1:17">
      <c r="A7" s="18">
        <v>25</v>
      </c>
      <c r="B7" s="19">
        <v>-0.88761866143951096</v>
      </c>
      <c r="C7" s="19">
        <v>-0.85645781794940679</v>
      </c>
      <c r="D7" s="19">
        <v>-0.83063229603261535</v>
      </c>
      <c r="E7" s="19">
        <v>-0.78407707634718316</v>
      </c>
      <c r="F7" s="19">
        <v>-0.88412226434856211</v>
      </c>
      <c r="G7" s="19">
        <v>-0.66746727013803897</v>
      </c>
      <c r="H7" s="21"/>
      <c r="J7" s="18">
        <v>25</v>
      </c>
      <c r="K7" s="19">
        <v>-0.95393531432576628</v>
      </c>
      <c r="L7" s="19">
        <v>-0.92677804853722057</v>
      </c>
      <c r="M7" s="19">
        <v>-0.86920613351053932</v>
      </c>
      <c r="N7" s="19">
        <v>-0.85624317643298331</v>
      </c>
      <c r="O7" s="19">
        <v>-0.94848666240099744</v>
      </c>
      <c r="P7" s="19">
        <v>-0.61930998136655224</v>
      </c>
      <c r="Q7" s="21"/>
    </row>
    <row r="8" spans="1:17">
      <c r="A8" s="18">
        <v>30</v>
      </c>
      <c r="B8" s="19">
        <v>-0.83222308793731981</v>
      </c>
      <c r="C8" s="19">
        <v>-0.80848565605858569</v>
      </c>
      <c r="D8" s="19">
        <v>-0.77200338720246053</v>
      </c>
      <c r="E8" s="19">
        <v>-0.74309524259921955</v>
      </c>
      <c r="F8" s="19">
        <v>-0.82136257147134217</v>
      </c>
      <c r="G8" s="19">
        <v>-0.55497544474088145</v>
      </c>
      <c r="H8" s="21"/>
      <c r="J8" s="18">
        <v>30</v>
      </c>
      <c r="K8" s="19">
        <v>-0.89866730377103976</v>
      </c>
      <c r="L8" s="19">
        <v>-0.87581973706212179</v>
      </c>
      <c r="M8" s="19">
        <v>-0.80208481424719991</v>
      </c>
      <c r="N8" s="19">
        <v>-0.81703262635799434</v>
      </c>
      <c r="O8" s="19">
        <v>-0.88773038554625583</v>
      </c>
      <c r="P8" s="19">
        <v>-0.53826653643964251</v>
      </c>
      <c r="Q8" s="21"/>
    </row>
    <row r="9" spans="1:17">
      <c r="A9" s="18">
        <v>35</v>
      </c>
      <c r="B9" s="19">
        <v>-0.77161320305701064</v>
      </c>
      <c r="C9" s="19">
        <v>-0.75720799673579831</v>
      </c>
      <c r="D9" s="19">
        <v>-0.71174620737879146</v>
      </c>
      <c r="E9" s="19">
        <v>-0.70212800843649648</v>
      </c>
      <c r="F9" s="19">
        <v>-0.75642199010305966</v>
      </c>
      <c r="G9" s="19">
        <v>-0.43949301509733479</v>
      </c>
      <c r="H9" s="21"/>
      <c r="J9" s="18">
        <v>35</v>
      </c>
      <c r="K9" s="19">
        <v>-0.83892900424050876</v>
      </c>
      <c r="L9" s="19">
        <v>-0.82474303239272606</v>
      </c>
      <c r="M9" s="19">
        <v>-0.73732351213430469</v>
      </c>
      <c r="N9" s="19">
        <v>-0.77189439731086973</v>
      </c>
      <c r="O9" s="19">
        <v>-0.8259381775987652</v>
      </c>
      <c r="P9" s="19">
        <v>-0.42396950774757225</v>
      </c>
      <c r="Q9" s="21"/>
    </row>
    <row r="10" spans="1:17">
      <c r="A10" s="18">
        <v>40</v>
      </c>
      <c r="B10" s="19">
        <v>-0.70536613769800149</v>
      </c>
      <c r="C10" s="19">
        <v>-0.70143650532592283</v>
      </c>
      <c r="D10" s="19">
        <v>-0.6489531581506035</v>
      </c>
      <c r="E10" s="19">
        <v>-0.65777314927556685</v>
      </c>
      <c r="F10" s="19">
        <v>-0.68862800696556059</v>
      </c>
      <c r="G10" s="19">
        <v>-0.34752805546091936</v>
      </c>
      <c r="H10" s="21"/>
      <c r="J10" s="18">
        <v>40</v>
      </c>
      <c r="K10" s="19">
        <v>-0.76900214861344063</v>
      </c>
      <c r="L10" s="19">
        <v>-0.76681316903129526</v>
      </c>
      <c r="M10" s="19">
        <v>-0.67218441284437103</v>
      </c>
      <c r="N10" s="19">
        <v>-0.72231250461550289</v>
      </c>
      <c r="O10" s="19">
        <v>-0.75696780176204026</v>
      </c>
      <c r="P10" s="19">
        <v>-0.30537040538400972</v>
      </c>
      <c r="Q10" s="21"/>
    </row>
    <row r="11" spans="1:17">
      <c r="A11" s="18">
        <v>45</v>
      </c>
      <c r="B11" s="19">
        <v>-0.63225842771700302</v>
      </c>
      <c r="C11" s="19">
        <v>-0.64063233149904941</v>
      </c>
      <c r="D11" s="19">
        <v>-0.58010435644994485</v>
      </c>
      <c r="E11" s="19">
        <v>-0.60809129187599065</v>
      </c>
      <c r="F11" s="19">
        <v>-0.61631192568392912</v>
      </c>
      <c r="G11" s="19">
        <v>-0.2796717464607949</v>
      </c>
      <c r="H11" s="21"/>
      <c r="J11" s="18">
        <v>45</v>
      </c>
      <c r="K11" s="19">
        <v>-0.68452755415039701</v>
      </c>
      <c r="L11" s="19">
        <v>-0.69542221623109723</v>
      </c>
      <c r="M11" s="19">
        <v>-0.6004320886314537</v>
      </c>
      <c r="N11" s="19">
        <v>-0.66038885146608195</v>
      </c>
      <c r="O11" s="19">
        <v>-0.67555110779524841</v>
      </c>
      <c r="P11" s="19">
        <v>-0.19102306031916078</v>
      </c>
      <c r="Q11" s="21"/>
    </row>
    <row r="12" spans="1:17">
      <c r="A12" s="18">
        <v>50</v>
      </c>
      <c r="B12" s="19">
        <v>-0.54716064042354773</v>
      </c>
      <c r="C12" s="19">
        <v>-0.56974874560225386</v>
      </c>
      <c r="D12" s="19">
        <v>-0.50864167857923615</v>
      </c>
      <c r="E12" s="19">
        <v>-0.55207839286799509</v>
      </c>
      <c r="F12" s="19">
        <v>-0.53540369879947558</v>
      </c>
      <c r="G12" s="19">
        <v>-0.22679742576773457</v>
      </c>
      <c r="H12" s="21"/>
      <c r="J12" s="18">
        <v>50</v>
      </c>
      <c r="K12" s="19">
        <v>-0.58094867734309374</v>
      </c>
      <c r="L12" s="19">
        <v>-0.60294976503765141</v>
      </c>
      <c r="M12" s="19">
        <v>-0.52059834010621253</v>
      </c>
      <c r="N12" s="19">
        <v>-0.58383201720449152</v>
      </c>
      <c r="O12" s="19">
        <v>-0.57720150892943201</v>
      </c>
      <c r="P12" s="19">
        <v>-9.1258238415243206E-2</v>
      </c>
      <c r="Q12" s="21"/>
    </row>
    <row r="13" spans="1:17">
      <c r="A13" s="18">
        <v>55</v>
      </c>
      <c r="B13" s="19">
        <v>-0.44323137082095437</v>
      </c>
      <c r="C13" s="19">
        <v>-0.48057184541702924</v>
      </c>
      <c r="D13" s="19">
        <v>-0.42279162488953242</v>
      </c>
      <c r="E13" s="19">
        <v>-0.48008226256731529</v>
      </c>
      <c r="F13" s="19">
        <v>-0.43713086722588262</v>
      </c>
      <c r="G13" s="19">
        <v>-0.17320805457698965</v>
      </c>
      <c r="H13" s="21"/>
      <c r="J13" s="18">
        <v>55</v>
      </c>
      <c r="K13" s="19">
        <v>-0.45326106749569572</v>
      </c>
      <c r="L13" s="19">
        <v>-0.48163530200651361</v>
      </c>
      <c r="M13" s="19">
        <v>-0.4210143479136163</v>
      </c>
      <c r="N13" s="19">
        <v>-0.48460666195853785</v>
      </c>
      <c r="O13" s="19">
        <v>-0.45582055810755873</v>
      </c>
      <c r="P13" s="19">
        <v>-5.7787208801094525E-3</v>
      </c>
      <c r="Q13" s="21"/>
    </row>
    <row r="14" spans="1:17">
      <c r="A14" s="18">
        <v>60</v>
      </c>
      <c r="B14" s="19">
        <v>-0.31406112015068494</v>
      </c>
      <c r="C14" s="19">
        <v>-0.36529580454443744</v>
      </c>
      <c r="D14" s="19">
        <v>-0.32102416945414897</v>
      </c>
      <c r="E14" s="19">
        <v>-0.38856998615937</v>
      </c>
      <c r="F14" s="19">
        <v>-0.3186589915311997</v>
      </c>
      <c r="G14" s="19">
        <v>-0.11051999808174573</v>
      </c>
      <c r="H14" s="21"/>
      <c r="J14" s="18">
        <v>60</v>
      </c>
      <c r="K14" s="19">
        <v>-0.29911364237741156</v>
      </c>
      <c r="L14" s="19">
        <v>-0.33065389097350745</v>
      </c>
      <c r="M14" s="19">
        <v>-0.30682105927662073</v>
      </c>
      <c r="N14" s="19">
        <v>-0.35965748316759905</v>
      </c>
      <c r="O14" s="19">
        <v>-0.30741359919534794</v>
      </c>
      <c r="P14" s="19">
        <v>8.0454876803862097E-2</v>
      </c>
      <c r="Q14" s="21"/>
    </row>
    <row r="15" spans="1:17">
      <c r="A15" s="18">
        <v>65</v>
      </c>
      <c r="B15" s="19">
        <v>-0.15350037229977559</v>
      </c>
      <c r="C15" s="19">
        <v>-0.21177193364854202</v>
      </c>
      <c r="D15" s="19">
        <v>-0.18761837894537206</v>
      </c>
      <c r="E15" s="19">
        <v>-0.25906906882787523</v>
      </c>
      <c r="F15" s="19">
        <v>-0.16637525937102554</v>
      </c>
      <c r="G15" s="19">
        <v>-2.4564773576284834E-2</v>
      </c>
      <c r="H15" s="21"/>
      <c r="J15" s="18">
        <v>65</v>
      </c>
      <c r="K15" s="19">
        <v>-0.11199770547699364</v>
      </c>
      <c r="L15" s="19">
        <v>-0.14845486484458761</v>
      </c>
      <c r="M15" s="19">
        <v>-0.16058401337471645</v>
      </c>
      <c r="N15" s="19">
        <v>-0.20182323747925654</v>
      </c>
      <c r="O15" s="19">
        <v>-0.1262176157653675</v>
      </c>
      <c r="P15" s="19">
        <v>0.18406648298591774</v>
      </c>
      <c r="Q15" s="21"/>
    </row>
    <row r="16" spans="1:17">
      <c r="A16" s="18">
        <v>70</v>
      </c>
      <c r="B16" s="19">
        <v>4.7202694544060057E-2</v>
      </c>
      <c r="C16" s="19">
        <v>-6.4627267002444113E-3</v>
      </c>
      <c r="D16" s="19">
        <v>-1.046876480077538E-2</v>
      </c>
      <c r="E16" s="19">
        <v>-7.9751647450351681E-2</v>
      </c>
      <c r="F16" s="19">
        <v>2.5988333390229997E-2</v>
      </c>
      <c r="G16" s="19">
        <v>0.1003150483892048</v>
      </c>
      <c r="H16" s="21"/>
      <c r="J16" s="18">
        <v>70</v>
      </c>
      <c r="K16" s="19">
        <v>0.11350757351291885</v>
      </c>
      <c r="L16" s="19">
        <v>7.4350889929898981E-2</v>
      </c>
      <c r="M16" s="19">
        <v>2.5027307118656625E-2</v>
      </c>
      <c r="N16" s="19">
        <v>-3.6304814007426826E-3</v>
      </c>
      <c r="O16" s="19">
        <v>9.2839228680570429E-2</v>
      </c>
      <c r="P16" s="19">
        <v>0.32605808533447933</v>
      </c>
      <c r="Q16" s="21"/>
    </row>
    <row r="17" spans="1:17">
      <c r="A17" s="18">
        <v>75</v>
      </c>
      <c r="B17" s="19">
        <v>0.29831344083201977</v>
      </c>
      <c r="C17" s="19">
        <v>0.26683377074043363</v>
      </c>
      <c r="D17" s="19">
        <v>0.22405908607537503</v>
      </c>
      <c r="E17" s="19">
        <v>0.17544223413848195</v>
      </c>
      <c r="F17" s="19">
        <v>0.27789225951999852</v>
      </c>
      <c r="G17" s="19">
        <v>0.26437837247892709</v>
      </c>
      <c r="H17" s="21"/>
      <c r="J17" s="18">
        <v>75</v>
      </c>
      <c r="K17" s="19">
        <v>0.38394770191107502</v>
      </c>
      <c r="L17" s="19">
        <v>0.35688919667802921</v>
      </c>
      <c r="M17" s="19">
        <v>0.26393791547571011</v>
      </c>
      <c r="N17" s="19">
        <v>0.26264157768898094</v>
      </c>
      <c r="O17" s="19">
        <v>0.36516868997048274</v>
      </c>
      <c r="P17" s="19">
        <v>0.5118891879176225</v>
      </c>
      <c r="Q17" s="21"/>
    </row>
    <row r="18" spans="1:17">
      <c r="A18" s="18">
        <v>80</v>
      </c>
      <c r="B18" s="19">
        <v>0.61317544977380356</v>
      </c>
      <c r="C18" s="19">
        <v>0.63032567098022951</v>
      </c>
      <c r="D18" s="19">
        <v>0.53050000260347951</v>
      </c>
      <c r="E18" s="19">
        <v>0.52941084062316079</v>
      </c>
      <c r="F18" s="19">
        <v>0.60865330973735543</v>
      </c>
      <c r="G18" s="19">
        <v>0.47887517915207028</v>
      </c>
      <c r="H18" s="21"/>
      <c r="J18" s="18">
        <v>80</v>
      </c>
      <c r="K18" s="19">
        <v>0.71024327752276806</v>
      </c>
      <c r="L18" s="19">
        <v>0.72453107950166995</v>
      </c>
      <c r="M18" s="19">
        <v>0.57732480411031639</v>
      </c>
      <c r="N18" s="19">
        <v>0.63094192216713241</v>
      </c>
      <c r="O18" s="19">
        <v>0.71611699723844735</v>
      </c>
      <c r="P18" s="19">
        <v>0.75588193380852187</v>
      </c>
      <c r="Q18" s="21"/>
    </row>
    <row r="19" spans="1:17">
      <c r="A19" s="22">
        <v>85</v>
      </c>
      <c r="B19" s="23">
        <v>1.0181822931175846</v>
      </c>
      <c r="C19" s="23">
        <v>1.1331829930730626</v>
      </c>
      <c r="D19" s="23">
        <v>0.94458953171090765</v>
      </c>
      <c r="E19" s="23">
        <v>1.0331091244568076</v>
      </c>
      <c r="F19" s="23">
        <v>1.0566921142266263</v>
      </c>
      <c r="G19" s="23">
        <v>0.76832737327098732</v>
      </c>
      <c r="H19" s="24"/>
      <c r="J19" s="22">
        <v>85</v>
      </c>
      <c r="K19" s="23">
        <v>1.1175905321542541</v>
      </c>
      <c r="L19" s="23">
        <v>1.2272198084146826</v>
      </c>
      <c r="M19" s="23">
        <v>1.0013626443891026</v>
      </c>
      <c r="N19" s="23">
        <v>1.1510053247399854</v>
      </c>
      <c r="O19" s="23">
        <v>1.1877303063916866</v>
      </c>
      <c r="P19" s="23">
        <v>1.0995381024185025</v>
      </c>
      <c r="Q19" s="24"/>
    </row>
    <row r="21" spans="1:17" ht="15.75">
      <c r="A21" s="25" t="s">
        <v>92</v>
      </c>
      <c r="G21" s="26"/>
      <c r="H21" s="26"/>
    </row>
    <row r="22" spans="1:17">
      <c r="A22" s="27"/>
      <c r="B22" s="27"/>
    </row>
    <row r="23" spans="1:17" ht="15.75">
      <c r="A23" s="28"/>
      <c r="B23" s="29" t="str">
        <f>Introduction!D11</f>
        <v>SIDA</v>
      </c>
      <c r="C23" s="29"/>
      <c r="D23" s="29" t="s">
        <v>34</v>
      </c>
    </row>
    <row r="24" spans="1:17" ht="16.5">
      <c r="A24" s="30" t="s">
        <v>1</v>
      </c>
      <c r="B24" s="31" t="s">
        <v>33</v>
      </c>
      <c r="C24" s="31"/>
      <c r="D24" s="31" t="s">
        <v>93</v>
      </c>
    </row>
    <row r="25" spans="1:17" ht="16.5">
      <c r="A25" s="32"/>
      <c r="B25" s="33" t="s">
        <v>35</v>
      </c>
      <c r="C25" s="33"/>
      <c r="D25" s="33" t="s">
        <v>36</v>
      </c>
    </row>
    <row r="26" spans="1:17">
      <c r="A26" s="18">
        <v>5</v>
      </c>
      <c r="B26" s="34">
        <f>IF(Introduction!$D$10="Femme",HLOOKUP(Introduction!D$11,$B$2:$H$19,ROW()-ROW(B$26)+2,FALSE),HLOOKUP(Introduction!D$11,$K$2:$Q$19,ROW()-ROW(B$26)+2,FALSE))</f>
        <v>-0.79829676250861992</v>
      </c>
      <c r="C26" s="34">
        <f>1/(1+EXP(2*B26))</f>
        <v>0.83154174464785968</v>
      </c>
      <c r="D26" s="34">
        <f>C26/C$26</f>
        <v>1</v>
      </c>
    </row>
    <row r="27" spans="1:17">
      <c r="A27" s="18">
        <v>10</v>
      </c>
      <c r="B27" s="35">
        <f>IF(Introduction!$D$10="Femme",HLOOKUP(Introduction!D$11,$B$2:$H$19,ROW()-ROW(B$26)+2,FALSE),HLOOKUP(Introduction!D$11,$K$2:$Q$19,ROW()-ROW(B$26)+2,FALSE))</f>
        <v>-0.73689617552188336</v>
      </c>
      <c r="C27" s="35">
        <f>1/(1+EXP(2*B27))</f>
        <v>0.81363312049038983</v>
      </c>
      <c r="D27" s="35">
        <f>C27/C$26</f>
        <v>0.97846334922721911</v>
      </c>
    </row>
    <row r="28" spans="1:17">
      <c r="A28" s="18">
        <v>15</v>
      </c>
      <c r="B28" s="35">
        <f>IF(Introduction!$D$10="Femme",HLOOKUP(Introduction!D$11,$B$2:$H$19,ROW()-ROW(B$26)+2,FALSE),HLOOKUP(Introduction!D$11,$K$2:$Q$19,ROW()-ROW(B$26)+2,FALSE))</f>
        <v>-0.69613571586652812</v>
      </c>
      <c r="C28" s="35">
        <f t="shared" ref="C28:C41" si="0">1/(1+EXP(2*B28))</f>
        <v>0.800954616712655</v>
      </c>
      <c r="D28" s="35">
        <f t="shared" ref="D28:D41" si="1">C28/C$26</f>
        <v>0.96321636510484787</v>
      </c>
    </row>
    <row r="29" spans="1:17">
      <c r="A29" s="18">
        <v>20</v>
      </c>
      <c r="B29" s="35">
        <f>IF(Introduction!$D$10="Femme",HLOOKUP(Introduction!D$11,$B$2:$H$19,ROW()-ROW(B$26)+2,FALSE),HLOOKUP(Introduction!D$11,$K$2:$Q$19,ROW()-ROW(B$26)+2,FALSE))</f>
        <v>-0.66544049854843723</v>
      </c>
      <c r="C29" s="35">
        <f t="shared" si="0"/>
        <v>0.79098632469707553</v>
      </c>
      <c r="D29" s="35">
        <f t="shared" si="1"/>
        <v>0.95122864220369541</v>
      </c>
    </row>
    <row r="30" spans="1:17">
      <c r="A30" s="18">
        <v>25</v>
      </c>
      <c r="B30" s="35">
        <f>IF(Introduction!$D$10="Femme",HLOOKUP(Introduction!D$11,$B$2:$H$19,ROW()-ROW(B$26)+2,FALSE),HLOOKUP(Introduction!D$11,$K$2:$Q$19,ROW()-ROW(B$26)+2,FALSE))</f>
        <v>-0.61930998136655224</v>
      </c>
      <c r="C30" s="35">
        <f t="shared" si="0"/>
        <v>0.77532370746025248</v>
      </c>
      <c r="D30" s="35">
        <f t="shared" si="1"/>
        <v>0.93239300666569136</v>
      </c>
    </row>
    <row r="31" spans="1:17">
      <c r="A31" s="18">
        <v>30</v>
      </c>
      <c r="B31" s="35">
        <f>IF(Introduction!$D$10="Femme",HLOOKUP(Introduction!D$11,$B$2:$H$19,ROW()-ROW(B$26)+2,FALSE),HLOOKUP(Introduction!D$11,$K$2:$Q$19,ROW()-ROW(B$26)+2,FALSE))</f>
        <v>-0.53826653643964251</v>
      </c>
      <c r="C31" s="35">
        <f t="shared" si="0"/>
        <v>0.74583733907124128</v>
      </c>
      <c r="D31" s="35">
        <f t="shared" si="1"/>
        <v>0.89693312918052914</v>
      </c>
    </row>
    <row r="32" spans="1:17">
      <c r="A32" s="18">
        <v>35</v>
      </c>
      <c r="B32" s="35">
        <f>IF(Introduction!$D$10="Femme",HLOOKUP(Introduction!D$11,$B$2:$H$19,ROW()-ROW(B$26)+2,FALSE),HLOOKUP(Introduction!D$11,$K$2:$Q$19,ROW()-ROW(B$26)+2,FALSE))</f>
        <v>-0.42396950774757225</v>
      </c>
      <c r="C32" s="35">
        <f t="shared" si="0"/>
        <v>0.70013462530491533</v>
      </c>
      <c r="D32" s="35">
        <f t="shared" si="1"/>
        <v>0.8419717107544703</v>
      </c>
    </row>
    <row r="33" spans="1:4">
      <c r="A33" s="18">
        <v>40</v>
      </c>
      <c r="B33" s="35">
        <f>IF(Introduction!$D$10="Femme",HLOOKUP(Introduction!D$11,$B$2:$H$19,ROW()-ROW(B$26)+2,FALSE),HLOOKUP(Introduction!D$11,$K$2:$Q$19,ROW()-ROW(B$26)+2,FALSE))</f>
        <v>-0.30537040538400972</v>
      </c>
      <c r="C33" s="35">
        <f t="shared" si="0"/>
        <v>0.64810977250568147</v>
      </c>
      <c r="D33" s="35">
        <f t="shared" si="1"/>
        <v>0.77940737993874531</v>
      </c>
    </row>
    <row r="34" spans="1:4">
      <c r="A34" s="18">
        <v>45</v>
      </c>
      <c r="B34" s="35">
        <f>IF(Introduction!$D$10="Femme",HLOOKUP(Introduction!D$11,$B$2:$H$19,ROW()-ROW(B$26)+2,FALSE),HLOOKUP(Introduction!D$11,$K$2:$Q$19,ROW()-ROW(B$26)+2,FALSE))</f>
        <v>-0.19102306031916078</v>
      </c>
      <c r="C34" s="35">
        <f t="shared" si="0"/>
        <v>0.59436650740924746</v>
      </c>
      <c r="D34" s="35">
        <f t="shared" si="1"/>
        <v>0.71477651150388022</v>
      </c>
    </row>
    <row r="35" spans="1:4">
      <c r="A35" s="18">
        <v>50</v>
      </c>
      <c r="B35" s="35">
        <f>IF(Introduction!$D$10="Femme",HLOOKUP(Introduction!D$11,$B$2:$H$19,ROW()-ROW(B$26)+2,FALSE),HLOOKUP(Introduction!D$11,$K$2:$Q$19,ROW()-ROW(B$26)+2,FALSE))</f>
        <v>-9.1258238415243206E-2</v>
      </c>
      <c r="C35" s="35">
        <f t="shared" si="0"/>
        <v>0.5455028723080011</v>
      </c>
      <c r="D35" s="35">
        <f t="shared" si="1"/>
        <v>0.65601381508394385</v>
      </c>
    </row>
    <row r="36" spans="1:4">
      <c r="A36" s="18">
        <v>55</v>
      </c>
      <c r="B36" s="35">
        <f>IF(Introduction!$D$10="Femme",HLOOKUP(Introduction!D$11,$B$2:$H$19,ROW()-ROW(B$26)+2,FALSE),HLOOKUP(Introduction!D$11,$K$2:$Q$19,ROW()-ROW(B$26)+2,FALSE))</f>
        <v>-5.7787208801094525E-3</v>
      </c>
      <c r="C36" s="35">
        <f t="shared" si="0"/>
        <v>0.50288932827842092</v>
      </c>
      <c r="D36" s="35">
        <f t="shared" si="1"/>
        <v>0.60476738722405798</v>
      </c>
    </row>
    <row r="37" spans="1:4">
      <c r="A37" s="18">
        <v>60</v>
      </c>
      <c r="B37" s="35">
        <f>IF(Introduction!$D$10="Femme",HLOOKUP(Introduction!D$11,$B$2:$H$19,ROW()-ROW(B$26)+2,FALSE),HLOOKUP(Introduction!D$11,$K$2:$Q$19,ROW()-ROW(B$26)+2,FALSE))</f>
        <v>8.0454876803862097E-2</v>
      </c>
      <c r="C37" s="35">
        <f t="shared" si="0"/>
        <v>0.45985913468169998</v>
      </c>
      <c r="D37" s="35">
        <f t="shared" si="1"/>
        <v>0.55301990265857381</v>
      </c>
    </row>
    <row r="38" spans="1:4">
      <c r="A38" s="18">
        <v>65</v>
      </c>
      <c r="B38" s="35">
        <f>IF(Introduction!$D$10="Femme",HLOOKUP(Introduction!D$11,$B$2:$H$19,ROW()-ROW(B$26)+2,FALSE),HLOOKUP(Introduction!D$11,$K$2:$Q$19,ROW()-ROW(B$26)+2,FALSE))</f>
        <v>0.18406648298591774</v>
      </c>
      <c r="C38" s="35">
        <f t="shared" si="0"/>
        <v>0.40899223972880094</v>
      </c>
      <c r="D38" s="35">
        <f t="shared" si="1"/>
        <v>0.49184811509613446</v>
      </c>
    </row>
    <row r="39" spans="1:4">
      <c r="A39" s="18">
        <v>70</v>
      </c>
      <c r="B39" s="35">
        <f>IF(Introduction!$D$10="Femme",HLOOKUP(Introduction!D$11,$B$2:$H$19,ROW()-ROW(B$26)+2,FALSE),HLOOKUP(Introduction!D$11,$K$2:$Q$19,ROW()-ROW(B$26)+2,FALSE))</f>
        <v>0.32605808533447933</v>
      </c>
      <c r="C39" s="35">
        <f t="shared" si="0"/>
        <v>0.34251282167441455</v>
      </c>
      <c r="D39" s="35">
        <f t="shared" si="1"/>
        <v>0.41190093447378456</v>
      </c>
    </row>
    <row r="40" spans="1:4">
      <c r="A40" s="18">
        <v>75</v>
      </c>
      <c r="B40" s="35">
        <f>IF(Introduction!$D$10="Femme",HLOOKUP(Introduction!D$11,$B$2:$H$19,ROW()-ROW(B$26)+2,FALSE),HLOOKUP(Introduction!D$11,$K$2:$Q$19,ROW()-ROW(B$26)+2,FALSE))</f>
        <v>0.5118891879176225</v>
      </c>
      <c r="C40" s="35">
        <f t="shared" si="0"/>
        <v>0.26429207243410291</v>
      </c>
      <c r="D40" s="35">
        <f t="shared" si="1"/>
        <v>0.31783379984852717</v>
      </c>
    </row>
    <row r="41" spans="1:4">
      <c r="A41" s="18">
        <v>80</v>
      </c>
      <c r="B41" s="35">
        <f>IF(Introduction!$D$10="Femme",HLOOKUP(Introduction!D$11,$B$2:$H$19,ROW()-ROW(B$26)+2,FALSE),HLOOKUP(Introduction!D$11,$K$2:$Q$19,ROW()-ROW(B$26)+2,FALSE))</f>
        <v>0.75588193380852187</v>
      </c>
      <c r="C41" s="35">
        <f t="shared" si="0"/>
        <v>0.1806775351650009</v>
      </c>
      <c r="D41" s="35">
        <f t="shared" si="1"/>
        <v>0.21728017424009663</v>
      </c>
    </row>
    <row r="42" spans="1:4">
      <c r="A42" s="22">
        <v>85</v>
      </c>
      <c r="B42" s="36">
        <f>IF(Introduction!$D$10="Femme",HLOOKUP(Introduction!D$11,$B$2:$H$19,ROW()-ROW(B$26)+2,FALSE),HLOOKUP(Introduction!D$11,$K$2:$Q$19,ROW()-ROW(B$26)+2,FALSE))</f>
        <v>1.0995381024185025</v>
      </c>
      <c r="C42" s="36">
        <f>1/(1+EXP(2*B42))</f>
        <v>9.9833476908001331E-2</v>
      </c>
      <c r="D42" s="36">
        <f>C42/C$26</f>
        <v>0.1200582863705522</v>
      </c>
    </row>
  </sheetData>
  <sheetProtection sheet="1" objects="1" scenarios="1"/>
  <dataValidations count="1">
    <dataValidation type="decimal" allowBlank="1" showInputMessage="1" showErrorMessage="1" error="Enter valid numeric values for the logits" sqref="H3:H19 Q3:Q19">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Estimation&amp;R&amp;"Cambria,Bold"&amp;14Orphanhood </oddHeader>
    <oddFooter>&amp;L&amp;"+,Regular"&amp;F&amp;R&amp;"+,Regular"&amp;D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zoomScaleNormal="100" workbookViewId="0">
      <selection activeCell="P28" sqref="P28"/>
    </sheetView>
  </sheetViews>
  <sheetFormatPr defaultColWidth="9.140625" defaultRowHeight="12.75"/>
  <cols>
    <col min="1" max="2" width="9.28515625" style="2" bestFit="1" customWidth="1"/>
    <col min="3" max="3" width="10.42578125" style="2" customWidth="1"/>
    <col min="4" max="4" width="11" style="2" customWidth="1"/>
    <col min="5" max="5" width="12" style="2" customWidth="1"/>
    <col min="6" max="6" width="9.42578125" style="2" bestFit="1" customWidth="1"/>
    <col min="7" max="7" width="13.140625" style="2" bestFit="1" customWidth="1"/>
    <col min="8" max="8" width="13.28515625" style="2" bestFit="1" customWidth="1"/>
    <col min="9" max="9" width="12.28515625" style="2" customWidth="1"/>
    <col min="10" max="10" width="13.5703125" style="2" customWidth="1"/>
    <col min="11" max="11" width="10.28515625" style="2" customWidth="1"/>
    <col min="12" max="12" width="10.85546875" style="2" customWidth="1"/>
    <col min="13" max="13" width="10.5703125" style="2" bestFit="1" customWidth="1"/>
    <col min="14" max="14" width="5.140625" style="2" customWidth="1"/>
    <col min="15" max="16384" width="9.140625" style="2"/>
  </cols>
  <sheetData>
    <row r="1" spans="1:13">
      <c r="A1" s="2" t="s">
        <v>94</v>
      </c>
      <c r="C1" s="108" t="str">
        <f>Introduction!D9</f>
        <v>Afrique du sud</v>
      </c>
      <c r="I1" s="109" t="s">
        <v>97</v>
      </c>
    </row>
    <row r="2" spans="1:13">
      <c r="B2" s="108"/>
      <c r="C2" s="3"/>
      <c r="E2" s="2" t="s">
        <v>95</v>
      </c>
      <c r="G2" s="3">
        <f>YEAR(Introduction!D12)+YEARFRAC(DATE(YEAR(Introduction!D12),1,1),Introduction!D12,1)+YEARFRAC(Introduction!D12,Introduction!D13+1,1)/2</f>
        <v>2004.4496371685209</v>
      </c>
      <c r="I2" s="109" t="s">
        <v>98</v>
      </c>
      <c r="J2" s="112">
        <v>5</v>
      </c>
      <c r="L2" s="5" t="str">
        <f>IF(C5=D5, "taux de croissance =", "delta =")</f>
        <v>taux de croissance =</v>
      </c>
      <c r="M2" s="87">
        <v>-5.0130000000000001E-3</v>
      </c>
    </row>
    <row r="3" spans="1:13">
      <c r="A3" s="2" t="s">
        <v>84</v>
      </c>
      <c r="C3" s="2" t="str">
        <f>Introduction!D10</f>
        <v>Homme</v>
      </c>
      <c r="E3" s="2" t="s">
        <v>96</v>
      </c>
      <c r="G3" s="3">
        <f>YEARFRAC(Introduction!D12,Introduction!D13+1,1)</f>
        <v>5.3540688575899837</v>
      </c>
      <c r="I3" s="109" t="s">
        <v>99</v>
      </c>
      <c r="J3" s="113">
        <v>84</v>
      </c>
      <c r="L3" s="4" t="s">
        <v>21</v>
      </c>
      <c r="M3" s="87">
        <f ca="1">AVEDEV(INDIRECT(ADDRESS(ROW(L8)+J2/5,L7)):INDIRECT(ADDRESS(ROW(L8)+INT(J3/5),L7)))</f>
        <v>9.4202081888020081E-3</v>
      </c>
    </row>
    <row r="4" spans="1:13">
      <c r="I4" s="2" t="str">
        <f>"(l'âge maximal doit être inférieur à  " &amp; TEXT(MAX(B20:B24)+5,"0"&amp;")")</f>
        <v>(l'âge maximal doit être inférieur à  85)</v>
      </c>
    </row>
    <row r="5" spans="1:13">
      <c r="C5" s="86"/>
      <c r="D5" s="86"/>
      <c r="I5" s="4"/>
      <c r="J5" s="4"/>
      <c r="K5" s="88"/>
      <c r="L5" s="88"/>
      <c r="M5" s="88"/>
    </row>
    <row r="6" spans="1:13" ht="14.25">
      <c r="A6" s="89" t="s">
        <v>1</v>
      </c>
      <c r="B6" s="89" t="s">
        <v>0</v>
      </c>
      <c r="C6" s="90" t="s">
        <v>56</v>
      </c>
      <c r="D6" s="90" t="s">
        <v>57</v>
      </c>
      <c r="E6" s="90" t="s">
        <v>58</v>
      </c>
      <c r="F6" s="90" t="s">
        <v>59</v>
      </c>
      <c r="G6" s="91" t="s">
        <v>60</v>
      </c>
      <c r="H6" s="92" t="s">
        <v>61</v>
      </c>
      <c r="I6" s="92" t="s">
        <v>62</v>
      </c>
      <c r="J6" s="92" t="s">
        <v>63</v>
      </c>
      <c r="K6" s="93" t="s">
        <v>64</v>
      </c>
      <c r="L6" s="93" t="s">
        <v>65</v>
      </c>
      <c r="M6" s="94"/>
    </row>
    <row r="7" spans="1:13">
      <c r="A7" s="95">
        <f>COLUMN()</f>
        <v>1</v>
      </c>
      <c r="B7" s="95">
        <f>COLUMN()</f>
        <v>2</v>
      </c>
      <c r="C7" s="95">
        <f>COLUMN()</f>
        <v>3</v>
      </c>
      <c r="D7" s="95">
        <f>COLUMN()</f>
        <v>4</v>
      </c>
      <c r="E7" s="95">
        <f>COLUMN()</f>
        <v>5</v>
      </c>
      <c r="F7" s="95">
        <f>COLUMN()</f>
        <v>6</v>
      </c>
      <c r="G7" s="95">
        <f>COLUMN()</f>
        <v>7</v>
      </c>
      <c r="H7" s="95">
        <f>COLUMN()</f>
        <v>8</v>
      </c>
      <c r="I7" s="95">
        <f>COLUMN()</f>
        <v>9</v>
      </c>
      <c r="J7" s="95">
        <f>COLUMN()</f>
        <v>10</v>
      </c>
      <c r="K7" s="95">
        <f>COLUMN()</f>
        <v>11</v>
      </c>
      <c r="L7" s="95">
        <f>COLUMN()</f>
        <v>12</v>
      </c>
      <c r="M7" s="95"/>
    </row>
    <row r="8" spans="1:13">
      <c r="A8" s="96" t="s">
        <v>6</v>
      </c>
      <c r="B8" s="97">
        <v>0</v>
      </c>
      <c r="C8" s="122">
        <v>2223006</v>
      </c>
      <c r="D8" s="122">
        <v>2505743.5</v>
      </c>
      <c r="E8" s="122">
        <v>229949.14710782745</v>
      </c>
      <c r="F8" s="122">
        <v>10605.138127410559</v>
      </c>
      <c r="G8" s="98">
        <f t="shared" ref="G8:G20" si="0">(LN(D8)-LN(C8))/G$3-F8/(C8*D8)^0.5/G$3+M$2</f>
        <v>1.6509273762269683E-2</v>
      </c>
      <c r="H8" s="99"/>
      <c r="I8" s="99"/>
      <c r="J8" s="100">
        <f t="shared" ref="J8:J18" si="1">G$3*SQRT(C8*D8)</f>
        <v>12636377.044876637</v>
      </c>
      <c r="K8" s="88"/>
      <c r="L8" s="88"/>
      <c r="M8" s="88"/>
    </row>
    <row r="9" spans="1:13">
      <c r="A9" s="96" t="s">
        <v>7</v>
      </c>
      <c r="B9" s="97">
        <v>5</v>
      </c>
      <c r="C9" s="122">
        <v>2425066</v>
      </c>
      <c r="D9" s="122">
        <v>2560641.9</v>
      </c>
      <c r="E9" s="122">
        <v>22683.027177160064</v>
      </c>
      <c r="F9" s="122">
        <v>2848.4857032874015</v>
      </c>
      <c r="G9" s="98">
        <f t="shared" si="0"/>
        <v>4.9338548050214016E-3</v>
      </c>
      <c r="H9" s="100">
        <f t="shared" ref="H9:H18" si="2">H10*EXP(5*G9)+E9*EXP(2.5*G9)</f>
        <v>2366449.0271918084</v>
      </c>
      <c r="I9" s="100">
        <f t="shared" ref="I9:I19" si="3">2.5*(H9+H10)</f>
        <v>11632071.774468035</v>
      </c>
      <c r="J9" s="100">
        <f t="shared" si="1"/>
        <v>13341976.07209436</v>
      </c>
      <c r="K9" s="101">
        <f>I9/J9</f>
        <v>0.87184025151995992</v>
      </c>
      <c r="L9" s="101">
        <f>SUM(I9:I$24)/SUM(J9:J$24)</f>
        <v>0.90867089796663647</v>
      </c>
      <c r="M9" s="101"/>
    </row>
    <row r="10" spans="1:13">
      <c r="A10" s="96" t="s">
        <v>8</v>
      </c>
      <c r="B10" s="97">
        <v>10</v>
      </c>
      <c r="C10" s="122">
        <v>2518985</v>
      </c>
      <c r="D10" s="122">
        <v>2452338.7999999998</v>
      </c>
      <c r="E10" s="122">
        <v>16462.046192145855</v>
      </c>
      <c r="F10" s="122">
        <v>5152.7988910692857</v>
      </c>
      <c r="G10" s="98">
        <f t="shared" si="0"/>
        <v>-1.040834641734845E-2</v>
      </c>
      <c r="H10" s="100">
        <f t="shared" si="2"/>
        <v>2286379.6825954062</v>
      </c>
      <c r="I10" s="100">
        <f t="shared" si="3"/>
        <v>11695002.660311736</v>
      </c>
      <c r="J10" s="100">
        <f t="shared" si="1"/>
        <v>13307208.993993297</v>
      </c>
      <c r="K10" s="101">
        <f t="shared" ref="K10:K19" si="4">I10/J10</f>
        <v>0.87884714710580636</v>
      </c>
      <c r="L10" s="101">
        <f>SUM(I10:I$24)/SUM(J10:J$24)</f>
        <v>0.91393054261952678</v>
      </c>
      <c r="M10" s="101"/>
    </row>
    <row r="11" spans="1:13">
      <c r="A11" s="96" t="s">
        <v>9</v>
      </c>
      <c r="B11" s="97">
        <v>15</v>
      </c>
      <c r="C11" s="122">
        <v>2453156</v>
      </c>
      <c r="D11" s="122">
        <v>2553292.9</v>
      </c>
      <c r="E11" s="122">
        <v>38012.859408201148</v>
      </c>
      <c r="F11" s="122">
        <v>16573.503554241652</v>
      </c>
      <c r="G11" s="98">
        <f t="shared" si="0"/>
        <v>1.2226900407215028E-3</v>
      </c>
      <c r="H11" s="100">
        <f t="shared" si="2"/>
        <v>2391621.3815292884</v>
      </c>
      <c r="I11" s="100">
        <f t="shared" si="3"/>
        <v>11826923.661256151</v>
      </c>
      <c r="J11" s="100">
        <f t="shared" si="1"/>
        <v>13399754.891735232</v>
      </c>
      <c r="K11" s="101">
        <f t="shared" si="4"/>
        <v>0.88262238800732251</v>
      </c>
      <c r="L11" s="101">
        <f>SUM(I11:I$24)/SUM(J11:J$24)</f>
        <v>0.91975758239839811</v>
      </c>
      <c r="M11" s="101"/>
    </row>
    <row r="12" spans="1:13">
      <c r="A12" s="96" t="s">
        <v>10</v>
      </c>
      <c r="B12" s="97">
        <v>20</v>
      </c>
      <c r="C12" s="122">
        <v>2099417</v>
      </c>
      <c r="D12" s="122">
        <v>2362519</v>
      </c>
      <c r="E12" s="122">
        <v>74934.173367597454</v>
      </c>
      <c r="F12" s="122">
        <v>14802.770597702409</v>
      </c>
      <c r="G12" s="98">
        <f t="shared" si="0"/>
        <v>1.5797721659197853E-2</v>
      </c>
      <c r="H12" s="100">
        <f t="shared" si="2"/>
        <v>2339148.082973172</v>
      </c>
      <c r="I12" s="100">
        <f t="shared" si="3"/>
        <v>11071516.360208008</v>
      </c>
      <c r="J12" s="100">
        <f t="shared" si="1"/>
        <v>11923972.396824386</v>
      </c>
      <c r="K12" s="101">
        <f t="shared" si="4"/>
        <v>0.92850905652520588</v>
      </c>
      <c r="L12" s="101">
        <f>SUM(I12:I$24)/SUM(J12:J$24)</f>
        <v>0.92721563281222685</v>
      </c>
      <c r="M12" s="101"/>
    </row>
    <row r="13" spans="1:13">
      <c r="A13" s="96" t="s">
        <v>11</v>
      </c>
      <c r="B13" s="97">
        <v>25</v>
      </c>
      <c r="C13" s="122">
        <v>1899275</v>
      </c>
      <c r="D13" s="122">
        <v>2033165.3</v>
      </c>
      <c r="E13" s="122">
        <v>124403.22897418254</v>
      </c>
      <c r="F13" s="122">
        <v>4714.0127417495423</v>
      </c>
      <c r="G13" s="98">
        <f t="shared" si="0"/>
        <v>7.2622837662844157E-3</v>
      </c>
      <c r="H13" s="100">
        <f t="shared" si="2"/>
        <v>2089458.461110031</v>
      </c>
      <c r="I13" s="100">
        <f t="shared" si="3"/>
        <v>9955604.2840901855</v>
      </c>
      <c r="J13" s="100">
        <f t="shared" si="1"/>
        <v>10521174.473608106</v>
      </c>
      <c r="K13" s="101">
        <f t="shared" si="4"/>
        <v>0.94624457650268723</v>
      </c>
      <c r="L13" s="101">
        <f>SUM(I13:I$24)/SUM(J13:J$24)</f>
        <v>0.92693417634027553</v>
      </c>
      <c r="M13" s="101"/>
    </row>
    <row r="14" spans="1:13">
      <c r="A14" s="96" t="s">
        <v>12</v>
      </c>
      <c r="B14" s="97">
        <v>30</v>
      </c>
      <c r="C14" s="122">
        <v>1594624</v>
      </c>
      <c r="D14" s="122">
        <v>1875482.6</v>
      </c>
      <c r="E14" s="122">
        <v>150791.61121107102</v>
      </c>
      <c r="F14" s="122">
        <v>13330.725342395457</v>
      </c>
      <c r="G14" s="98">
        <f t="shared" si="0"/>
        <v>2.3847213908205787E-2</v>
      </c>
      <c r="H14" s="100">
        <f t="shared" si="2"/>
        <v>1892783.2525260434</v>
      </c>
      <c r="I14" s="100">
        <f t="shared" si="3"/>
        <v>8576874.7339235134</v>
      </c>
      <c r="J14" s="100">
        <f t="shared" si="1"/>
        <v>9259118.0241284762</v>
      </c>
      <c r="K14" s="101">
        <f t="shared" si="4"/>
        <v>0.92631660073593458</v>
      </c>
      <c r="L14" s="101">
        <f>SUM(I14:I$24)/SUM(J14:J$24)</f>
        <v>0.92234540356336858</v>
      </c>
      <c r="M14" s="101"/>
    </row>
    <row r="15" spans="1:13">
      <c r="A15" s="96" t="s">
        <v>13</v>
      </c>
      <c r="B15" s="97">
        <v>35</v>
      </c>
      <c r="C15" s="122">
        <v>1441657</v>
      </c>
      <c r="D15" s="122">
        <v>1548185.2</v>
      </c>
      <c r="E15" s="122">
        <v>159015.73338435774</v>
      </c>
      <c r="F15" s="122">
        <v>9692.8689073678088</v>
      </c>
      <c r="G15" s="98">
        <f t="shared" si="0"/>
        <v>7.0903694907226734E-3</v>
      </c>
      <c r="H15" s="100">
        <f t="shared" si="2"/>
        <v>1537966.6410433622</v>
      </c>
      <c r="I15" s="100">
        <f t="shared" si="3"/>
        <v>7165357.04731056</v>
      </c>
      <c r="J15" s="100">
        <f t="shared" si="1"/>
        <v>7998828.4111584425</v>
      </c>
      <c r="K15" s="101">
        <f t="shared" si="4"/>
        <v>0.89580081969439651</v>
      </c>
      <c r="L15" s="101">
        <f>SUM(I15:I$24)/SUM(J15:J$24)</f>
        <v>0.92129531596609715</v>
      </c>
      <c r="M15" s="101"/>
    </row>
    <row r="16" spans="1:13">
      <c r="A16" s="96" t="s">
        <v>14</v>
      </c>
      <c r="B16" s="97">
        <v>40</v>
      </c>
      <c r="C16" s="122">
        <v>1233813</v>
      </c>
      <c r="D16" s="122">
        <v>1306899.8</v>
      </c>
      <c r="E16" s="122">
        <v>140171.53341224187</v>
      </c>
      <c r="F16" s="122">
        <v>7463.9251799293243</v>
      </c>
      <c r="G16" s="98">
        <f t="shared" si="0"/>
        <v>4.6376982978170549E-3</v>
      </c>
      <c r="H16" s="100">
        <f t="shared" si="2"/>
        <v>1328176.1778808616</v>
      </c>
      <c r="I16" s="100">
        <f t="shared" si="3"/>
        <v>6218381.3964074887</v>
      </c>
      <c r="J16" s="100">
        <f t="shared" si="1"/>
        <v>6798760.9131012345</v>
      </c>
      <c r="K16" s="101">
        <f t="shared" si="4"/>
        <v>0.91463451589018929</v>
      </c>
      <c r="L16" s="101">
        <f>SUM(I16:I$24)/SUM(J16:J$24)</f>
        <v>0.92884335644633642</v>
      </c>
      <c r="M16" s="101"/>
    </row>
    <row r="17" spans="1:20">
      <c r="A17" s="96" t="s">
        <v>15</v>
      </c>
      <c r="B17" s="97">
        <v>45</v>
      </c>
      <c r="C17" s="122">
        <v>967744</v>
      </c>
      <c r="D17" s="122">
        <v>1104293.7</v>
      </c>
      <c r="E17" s="122">
        <v>120016.46260439079</v>
      </c>
      <c r="F17" s="122">
        <v>8719.168128147463</v>
      </c>
      <c r="G17" s="98">
        <f t="shared" si="0"/>
        <v>1.8064638808015624E-2</v>
      </c>
      <c r="H17" s="100">
        <f t="shared" si="2"/>
        <v>1159176.3806821338</v>
      </c>
      <c r="I17" s="100">
        <f t="shared" si="3"/>
        <v>5258811.4718694147</v>
      </c>
      <c r="J17" s="100">
        <f t="shared" si="1"/>
        <v>5534858.1265528472</v>
      </c>
      <c r="K17" s="101">
        <f t="shared" si="4"/>
        <v>0.95012579394598562</v>
      </c>
      <c r="L17" s="101">
        <f>SUM(I17:I$24)/SUM(J17:J$24)</f>
        <v>0.93362132309735446</v>
      </c>
      <c r="M17" s="101"/>
    </row>
    <row r="18" spans="1:20">
      <c r="A18" s="96" t="s">
        <v>16</v>
      </c>
      <c r="B18" s="97">
        <v>50</v>
      </c>
      <c r="C18" s="122">
        <v>769627</v>
      </c>
      <c r="D18" s="122">
        <v>888042.4</v>
      </c>
      <c r="E18" s="122">
        <v>118989.32984351824</v>
      </c>
      <c r="F18" s="122">
        <v>9412.8400233326829</v>
      </c>
      <c r="G18" s="98">
        <f t="shared" si="0"/>
        <v>1.9590289170161906E-2</v>
      </c>
      <c r="H18" s="100">
        <f t="shared" si="2"/>
        <v>944348.2080656318</v>
      </c>
      <c r="I18" s="100">
        <f t="shared" si="3"/>
        <v>4218199.7581073977</v>
      </c>
      <c r="J18" s="100">
        <f t="shared" si="1"/>
        <v>4426301.0716921184</v>
      </c>
      <c r="K18" s="101">
        <f t="shared" si="4"/>
        <v>0.95298527817829481</v>
      </c>
      <c r="L18" s="101">
        <f>SUM(I18:I$24)/SUM(J18:J$24)</f>
        <v>0.92740004920022701</v>
      </c>
      <c r="M18" s="101"/>
    </row>
    <row r="19" spans="1:20">
      <c r="A19" s="96" t="s">
        <v>17</v>
      </c>
      <c r="B19" s="97">
        <v>55</v>
      </c>
      <c r="C19" s="122">
        <v>552402</v>
      </c>
      <c r="D19" s="122">
        <v>708812.3</v>
      </c>
      <c r="E19" s="122">
        <v>97976.651153599392</v>
      </c>
      <c r="F19" s="122">
        <v>4640.0309342114269</v>
      </c>
      <c r="G19" s="98">
        <f t="shared" si="0"/>
        <v>4.0167485240220402E-2</v>
      </c>
      <c r="H19" s="100">
        <f>H20*EXP(5*G19)+E19*EXP(2.5*G19)</f>
        <v>742931.69517732738</v>
      </c>
      <c r="I19" s="100">
        <f t="shared" si="3"/>
        <v>3155169.3331907112</v>
      </c>
      <c r="J19" s="100">
        <f>G$3*SQRT(C19*D19)</f>
        <v>3350249.8469955367</v>
      </c>
      <c r="K19" s="101">
        <f t="shared" si="4"/>
        <v>0.94177135356642994</v>
      </c>
      <c r="L19" s="101">
        <f>SUM(I19:I$24)/SUM(J19:J$24)</f>
        <v>0.91635919583284309</v>
      </c>
      <c r="M19" s="101"/>
    </row>
    <row r="20" spans="1:20">
      <c r="A20" s="96" t="s">
        <v>18</v>
      </c>
      <c r="B20" s="97">
        <v>60</v>
      </c>
      <c r="C20" s="122">
        <v>444592</v>
      </c>
      <c r="D20" s="122">
        <v>491870.6</v>
      </c>
      <c r="E20" s="122">
        <v>88088.109886094622</v>
      </c>
      <c r="F20" s="122">
        <v>5081.1725716458714</v>
      </c>
      <c r="G20" s="98">
        <f t="shared" si="0"/>
        <v>1.1832686707376295E-2</v>
      </c>
      <c r="H20" s="100">
        <f>H21*EXP(5*G20)+E20*EXP(2.5*G20)</f>
        <v>519136.03809895716</v>
      </c>
      <c r="I20" s="100">
        <f>IF(J$3&gt;59,2.5*(H20+H21),0)</f>
        <v>2307321.6038167467</v>
      </c>
      <c r="J20" s="100">
        <f>IF(J$3&gt;59,G$3*SQRT(C20*D20),0)</f>
        <v>2503745.6427654456</v>
      </c>
      <c r="K20" s="101">
        <f>IF(J$3&gt;60,I20/J20,NA())</f>
        <v>0.92154792579818778</v>
      </c>
      <c r="L20" s="101">
        <f>IF(J$3&gt;60,SUM(I20:I$24)/SUM(J20:J$24),NA())</f>
        <v>0.9040328539554715</v>
      </c>
      <c r="M20" s="101"/>
    </row>
    <row r="21" spans="1:20">
      <c r="A21" s="110" t="str">
        <f>IF(E21="","", IF(E22="","65+", "65-69"))</f>
        <v>65-69</v>
      </c>
      <c r="B21" s="2">
        <f>IF(E22="","",65)</f>
        <v>65</v>
      </c>
      <c r="C21" s="122">
        <v>304835</v>
      </c>
      <c r="D21" s="122">
        <v>394304.6</v>
      </c>
      <c r="E21" s="122">
        <v>80450.972586828793</v>
      </c>
      <c r="F21" s="122">
        <v>4922.1846512908869</v>
      </c>
      <c r="G21" s="98">
        <f>IF(C21="","",IF(J$3&gt;64,(LN(D21)-LN(C21))/G$3-F21/(C21*D21)^0.5/G$3+M$2, IF(J$3=64,(LN(SUM(D21:D$25))-LN(SUM(C21:C$25)))/G$3-SUM(F21:F$25)/(SUM(C21:C$25)*SUM(D21:D$25))^0.5/G$3+M$2,0)))</f>
        <v>4.0402111851556566E-2</v>
      </c>
      <c r="H21" s="100">
        <f>IF(J$3&gt;64,H22*EXP(5*G21)+E21*EXP(2.5*G21),IF(J$3=64,(EXP(G21*T28)-(G21*T28)^2/6)*SUM(E21:E$25),0))</f>
        <v>403792.60342774144</v>
      </c>
      <c r="I21" s="100">
        <f>IF(J$3&gt;64,2.5*(H21+H22),0)</f>
        <v>1652510.2501388695</v>
      </c>
      <c r="J21" s="100">
        <f>IF(J$3&gt;64,G$3*SQRT(C21*D21),0)</f>
        <v>1856232.1434515156</v>
      </c>
      <c r="K21" s="101">
        <f>IF(J$3&gt;B21,I21/J21,NA())</f>
        <v>0.89024977612237577</v>
      </c>
      <c r="L21" s="101">
        <f>IF(J$3&gt;B21,SUM(I21:I$24)/SUM(J21:J$24),NA())</f>
        <v>0.89407338725404961</v>
      </c>
      <c r="M21" s="101"/>
    </row>
    <row r="22" spans="1:20">
      <c r="A22" s="110" t="str">
        <f>IF(E22="","", IF(E23="","70+", "70-74"))</f>
        <v>70-74</v>
      </c>
      <c r="B22" s="2">
        <f>IF(E23="","",70)</f>
        <v>70</v>
      </c>
      <c r="C22" s="122">
        <v>232604</v>
      </c>
      <c r="D22" s="122">
        <v>241976.3</v>
      </c>
      <c r="E22" s="122">
        <v>72827.474991643627</v>
      </c>
      <c r="F22" s="122">
        <v>4333.9498290688334</v>
      </c>
      <c r="G22" s="98">
        <f>IF(C22="","",IF(J$3&gt;69,(LN(D22)-LN(C22))/G$3-F22/(C22*D22)^0.5/G$3+M$2, IF(J$3=69,(LN(SUM(D22:D$25))-LN(SUM(C22:C$25)))/G$3-SUM(F22:F$25)/(SUM(C22:C$25)*SUM(D22:D$25))^0.5/G$3+M$2,0)))</f>
        <v>-1.0469620684904427E-3</v>
      </c>
      <c r="H22" s="100">
        <f>IF(J$3&gt;69,H23*EXP(5*G22)+E22*EXP(2.5*G22),IF(J$3=69,(EXP(G22*T29)-(G22*T29)^2/6)*SUM(E22:E$25),0))</f>
        <v>257211.49662780634</v>
      </c>
      <c r="I22" s="100">
        <f>IF(J$3&gt;69,2.5*(H22+H23),0)</f>
        <v>1106886.5833684183</v>
      </c>
      <c r="J22" s="100">
        <f>IF(J$3&gt;69,G$3*SQRT(C22*D22),0)</f>
        <v>1270220.0321866921</v>
      </c>
      <c r="K22" s="101">
        <f>IF(J$3&gt;B22,I22/J22,NA())</f>
        <v>0.87141326330911795</v>
      </c>
      <c r="L22" s="101">
        <f>IF(J$3&gt;B22,SUM(I22:I$24)/SUM(J22:J$24),NA())</f>
        <v>0.89686006425622866</v>
      </c>
      <c r="M22" s="101"/>
    </row>
    <row r="23" spans="1:20">
      <c r="A23" s="110" t="str">
        <f>IF(E23="","", IF(E24="","75+", "75-79"))</f>
        <v>75-79</v>
      </c>
      <c r="B23" s="2">
        <f>IF(E24="","",75)</f>
        <v>75</v>
      </c>
      <c r="C23" s="122">
        <v>136466</v>
      </c>
      <c r="D23" s="122">
        <v>163112.35999999999</v>
      </c>
      <c r="E23" s="122">
        <v>59632.320370714682</v>
      </c>
      <c r="F23" s="122">
        <v>2980.3991583511752</v>
      </c>
      <c r="G23" s="98">
        <f>IF(C23="","",IF(J$3&gt;74,(LN(D23)-LN(C23))/G$3-F23/(C23*D23)^0.5/G$3+M$2, IF(J$3=74,(LN(SUM(D23:D$25))-LN(SUM(C23:C$25)))/G$3-SUM(F23:F$25)/(SUM(C23:C$25)*SUM(D23:D$25))^0.5/G$3+M$2,0)))</f>
        <v>2.4569607642999876E-2</v>
      </c>
      <c r="H23" s="100">
        <f>IF(J$3&gt;74,H24*EXP(5*G23)+E23*EXP(2.5*G23),IF(J$3=74,(EXP(G23*T30)-(G23*T30)^2/6)*SUM(E23:E$25),0))</f>
        <v>185543.13671956101</v>
      </c>
      <c r="I23" s="100">
        <f>IF(J$3&gt;74,2.5*(H23+H24),0)</f>
        <v>733893.58883530693</v>
      </c>
      <c r="J23" s="100">
        <f>IF(J$3&gt;74,G$3*SQRT(C23*D23),0)</f>
        <v>798802.87436929322</v>
      </c>
      <c r="K23" s="101">
        <f>IF(J$3&gt;B23,I23/J23,NA())</f>
        <v>0.91874179773672404</v>
      </c>
      <c r="L23" s="101">
        <f>IF(J$3&gt;B23,SUM(I23:I$24)/SUM(J23:J$24),NA())</f>
        <v>0.92217723587775591</v>
      </c>
      <c r="M23" s="101"/>
    </row>
    <row r="24" spans="1:20">
      <c r="A24" s="110" t="str">
        <f>IF(E24="","", IF(E25="","80+", "80-84"))</f>
        <v>80-84</v>
      </c>
      <c r="B24" s="2">
        <f>IF(E25="","",80)</f>
        <v>80</v>
      </c>
      <c r="C24" s="122">
        <v>90856</v>
      </c>
      <c r="D24" s="122">
        <v>87698.19</v>
      </c>
      <c r="E24" s="122">
        <v>45364.541738612061</v>
      </c>
      <c r="F24" s="122">
        <v>1662.3054081481939</v>
      </c>
      <c r="G24" s="98">
        <f>IF(C24="","",IF(J$3&gt;79,(LN(D24)-LN(C24))/G$3-F24/(C24*D24)^0.5/G$3+M$2, IF(J$3=79,(LN(SUM(D24:D$25))-LN(SUM(C24:C$25)))/G$3-SUM(F24:F$25)/(SUM(C24:C$25)*SUM(D24:D$25))^0.5/G$3+M$2,0)))</f>
        <v>-1.5098246752233343E-2</v>
      </c>
      <c r="H24" s="100">
        <f>IF(J$3&gt;79,H25*EXP(5*G24)+E24*EXP(2.5*G24),IF(J$3=79,(EXP(G24*T31)-(G24*T31)^2/6)*SUM(E24:E$25),0))</f>
        <v>108014.29881456177</v>
      </c>
      <c r="I24" s="100">
        <f>IF(J$3&gt;79,2.5*(H24+H25),0)</f>
        <v>443472.06371825258</v>
      </c>
      <c r="J24" s="100">
        <f>IF(J$3&gt;79,G$3*SQRT(C24*D24),0)</f>
        <v>477920.95565770532</v>
      </c>
      <c r="K24" s="101">
        <f>IF(J$3&gt;B24,I24/J24,NA())</f>
        <v>0.92791926880032949</v>
      </c>
      <c r="L24" s="101">
        <f>IF(J$3&gt;B24,SUM(I24:I$24)/SUM(J24:J$24),NA())</f>
        <v>0.92791926880032949</v>
      </c>
      <c r="M24" s="101"/>
    </row>
    <row r="25" spans="1:20">
      <c r="A25" s="110" t="str">
        <f>IF(E25="","","85+")</f>
        <v>85+</v>
      </c>
      <c r="C25" s="122">
        <v>45920</v>
      </c>
      <c r="D25" s="122">
        <v>70299.38</v>
      </c>
      <c r="E25" s="122">
        <v>51779.025304661831</v>
      </c>
      <c r="F25" s="122">
        <v>2009.4421964640305</v>
      </c>
      <c r="G25" s="98">
        <f>IF(C25="","",IF(J$3&gt;84,(LN(D25)-LN(C25))/G$3-F25/(C25*D25)^0.5/G$3+M$2, IF(J$3=84,(LN(SUM(D25:D$25))-LN(SUM(C25:C$25)))/G$3-SUM(F25:F$25)/(SUM(C25:C$25)*SUM(D25:D$25))^0.5/G$3+M$2,0)))</f>
        <v>6.7921283863503046E-2</v>
      </c>
      <c r="H25" s="100">
        <f>IF(J$3&gt;84,H26*EXP(5*G25)+E25*EXP(2.5*G25),IF(J$3=84,(EXP(G25*T32)-(G25*T32)^2/6)*SUM(E25:E$25),0))</f>
        <v>69374.526672739259</v>
      </c>
      <c r="I25" s="100"/>
      <c r="J25" s="100"/>
      <c r="K25" s="88"/>
      <c r="L25" s="88"/>
      <c r="M25" s="88"/>
    </row>
    <row r="26" spans="1:20">
      <c r="A26" s="102"/>
      <c r="B26" s="103"/>
      <c r="C26" s="104"/>
      <c r="D26" s="104"/>
      <c r="E26" s="104"/>
      <c r="G26" s="88"/>
      <c r="H26" s="4" t="s">
        <v>19</v>
      </c>
      <c r="I26" s="4"/>
      <c r="J26" s="4"/>
      <c r="K26" s="88"/>
      <c r="L26" s="88"/>
      <c r="M26" s="88"/>
      <c r="P26" s="85"/>
    </row>
    <row r="27" spans="1:20">
      <c r="A27" s="102" t="s">
        <v>20</v>
      </c>
      <c r="B27" s="103"/>
      <c r="C27" s="105">
        <f>SUM(C8:C26)</f>
        <v>21434045</v>
      </c>
      <c r="D27" s="105">
        <f>SUM(D8:D26)</f>
        <v>23348678.830000002</v>
      </c>
      <c r="E27" s="105">
        <f t="shared" ref="E27:F27" si="5">SUM(E8:E26)</f>
        <v>1691548.2487148491</v>
      </c>
      <c r="F27" s="105">
        <f t="shared" si="5"/>
        <v>128945.72194581402</v>
      </c>
      <c r="G27" s="101">
        <f>(LN(D27-D8-D9-D26)-LN(C27-C8-C9-C26))/G3</f>
        <v>1.5948510265984994E-2</v>
      </c>
      <c r="H27" s="101"/>
      <c r="I27" s="4"/>
      <c r="J27" s="99"/>
      <c r="P27" s="116" t="str">
        <f>"Av. "&amp;TEXT(Q32,"#")&amp;"-"&amp;TEXT(Q33,"#")&amp;":"</f>
        <v>Av. 25-64:</v>
      </c>
      <c r="Q27" s="117" t="s">
        <v>22</v>
      </c>
      <c r="S27" s="111" t="s">
        <v>66</v>
      </c>
      <c r="T27" s="111" t="s">
        <v>31</v>
      </c>
    </row>
    <row r="28" spans="1:20">
      <c r="C28" s="4"/>
      <c r="D28" s="4"/>
      <c r="E28" s="4"/>
      <c r="F28" s="4"/>
      <c r="I28" s="4"/>
      <c r="O28" s="106" t="s">
        <v>100</v>
      </c>
      <c r="P28" s="118">
        <f ca="1">MEDIAN(INDIRECT(ADDRESS(ROW(K8)+Q32/5,K7)):INDIRECT(ADDRESS(ROW(K8)+Q33/5,K7)))*0.5+(PERCENTILE(INDIRECT(ADDRESS(ROW(K8)+Q32/5,K7)):INDIRECT(ADDRESS(ROW(K8)+Q33/5,K7)),0.25)+PERCENTILE(INDIRECT(ADDRESS(ROW(K8)+Q32/5,K7)):INDIRECT(ADDRESS(ROW(K8)+Q33/5,K7)),0.75))*0.25</f>
        <v>0.93378060212176606</v>
      </c>
      <c r="Q28" s="114">
        <f>L11</f>
        <v>0.91975758239839811</v>
      </c>
      <c r="S28" s="95">
        <v>65</v>
      </c>
      <c r="T28" s="119">
        <v>11.930823646616373</v>
      </c>
    </row>
    <row r="29" spans="1:20">
      <c r="C29" s="4"/>
      <c r="D29" s="4"/>
      <c r="E29" s="4"/>
      <c r="F29" s="4"/>
      <c r="I29" s="4"/>
      <c r="O29" s="4" t="s">
        <v>101</v>
      </c>
      <c r="P29" s="114">
        <f ca="1">P28-(PERCENTILE(INDIRECT(ADDRESS(ROW(K8)+Q32/5,K7)):INDIRECT(ADDRESS(ROW(K8)+Q33/5,K7)),0.75)-PERCENTILE(INDIRECT(ADDRESS(ROW(K8)+Q32/5,K7)):INDIRECT(ADDRESS(ROW(K8)+Q33/5,K7)),0.25))</f>
        <v>0.90638529457944239</v>
      </c>
      <c r="Q29" s="115"/>
      <c r="S29" s="95">
        <v>70</v>
      </c>
      <c r="T29" s="119">
        <v>9.577234972340765</v>
      </c>
    </row>
    <row r="30" spans="1:20">
      <c r="C30" s="4"/>
      <c r="D30" s="4"/>
      <c r="E30" s="4"/>
      <c r="F30" s="4"/>
      <c r="I30" s="4"/>
      <c r="M30" s="88"/>
      <c r="O30" s="4" t="s">
        <v>102</v>
      </c>
      <c r="P30" s="114">
        <f ca="1">P28+(PERCENTILE(INDIRECT(ADDRESS(ROW(K8)+Q32/5,K7)):INDIRECT(ADDRESS(ROW(K8)+Q33/5,K7)),0.75)-PERCENTILE(INDIRECT(ADDRESS(ROW(K8)+Q32/5,K7)):INDIRECT(ADDRESS(ROW(K8)+Q33/5,K7)),0.25))</f>
        <v>0.96117590966408972</v>
      </c>
      <c r="Q30" s="115"/>
      <c r="S30" s="95">
        <v>75</v>
      </c>
      <c r="T30" s="119">
        <v>7.5599336693197756</v>
      </c>
    </row>
    <row r="31" spans="1:20">
      <c r="C31" s="4"/>
      <c r="D31" s="4"/>
      <c r="E31" s="4"/>
      <c r="F31" s="4"/>
      <c r="I31" s="4"/>
      <c r="J31" s="4"/>
      <c r="P31" s="109" t="s">
        <v>103</v>
      </c>
      <c r="S31" s="95">
        <v>80</v>
      </c>
      <c r="T31" s="119">
        <v>5.819361580299323</v>
      </c>
    </row>
    <row r="32" spans="1:20">
      <c r="C32" s="4"/>
      <c r="D32" s="4"/>
      <c r="E32" s="4"/>
      <c r="F32" s="4"/>
      <c r="I32" s="4"/>
      <c r="J32" s="4"/>
      <c r="P32" s="5" t="s">
        <v>104</v>
      </c>
      <c r="Q32" s="112">
        <v>25</v>
      </c>
      <c r="S32" s="95">
        <v>85</v>
      </c>
      <c r="T32" s="119">
        <v>4.4752139980491199</v>
      </c>
    </row>
    <row r="33" spans="3:17">
      <c r="C33" s="4"/>
      <c r="D33" s="4"/>
      <c r="E33" s="4"/>
      <c r="F33" s="4"/>
      <c r="I33" s="4"/>
      <c r="J33" s="4"/>
      <c r="P33" s="5" t="s">
        <v>105</v>
      </c>
      <c r="Q33" s="113">
        <v>64</v>
      </c>
    </row>
    <row r="34" spans="3:17">
      <c r="C34" s="4"/>
      <c r="D34" s="4"/>
      <c r="E34" s="4"/>
      <c r="F34" s="4"/>
      <c r="I34" s="4"/>
      <c r="J34" s="4"/>
      <c r="M34" s="88"/>
    </row>
    <row r="37" spans="3:17">
      <c r="C37" s="4"/>
      <c r="D37" s="3"/>
      <c r="E37" s="3"/>
      <c r="F37" s="3"/>
      <c r="G37" s="3"/>
      <c r="H37" s="3"/>
      <c r="I37" s="3"/>
      <c r="J37" s="3"/>
      <c r="K37" s="88"/>
      <c r="L37" s="88"/>
      <c r="M37" s="88"/>
    </row>
    <row r="38" spans="3:17">
      <c r="C38" s="4"/>
      <c r="D38" s="107"/>
      <c r="E38" s="107"/>
      <c r="F38" s="4"/>
      <c r="G38" s="88"/>
      <c r="H38" s="4"/>
      <c r="I38" s="4"/>
      <c r="J38" s="4"/>
      <c r="K38" s="88"/>
      <c r="L38" s="88"/>
      <c r="M38" s="88"/>
    </row>
  </sheetData>
  <sheetProtection sheet="1" objects="1" scenarios="1"/>
  <protectedRanges>
    <protectedRange sqref="T28:T32" name="Range3"/>
    <protectedRange sqref="J2:J3" name="Range1"/>
    <protectedRange sqref="Q32:Q33" name="Range2"/>
  </protectedRanges>
  <dataConsolidate/>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61"/>
  <sheetViews>
    <sheetView zoomScaleNormal="100" workbookViewId="0">
      <selection activeCell="I1" sqref="I1"/>
    </sheetView>
  </sheetViews>
  <sheetFormatPr defaultColWidth="9.140625" defaultRowHeight="12.75"/>
  <cols>
    <col min="1" max="1" width="11.28515625" style="47" customWidth="1"/>
    <col min="2" max="2" width="9.28515625" style="47" customWidth="1"/>
    <col min="3" max="3" width="11.85546875" style="47" customWidth="1"/>
    <col min="4" max="4" width="10.28515625" style="47" customWidth="1"/>
    <col min="5" max="5" width="11.42578125" style="47" customWidth="1"/>
    <col min="6" max="6" width="9.28515625" style="47" bestFit="1" customWidth="1"/>
    <col min="7" max="7" width="6.7109375" style="47" customWidth="1"/>
    <col min="8" max="9" width="9.28515625" style="47" bestFit="1" customWidth="1"/>
    <col min="10" max="10" width="9.7109375" style="47" bestFit="1" customWidth="1"/>
    <col min="11" max="11" width="9.85546875" style="47" customWidth="1"/>
    <col min="12" max="12" width="9.7109375" style="47" bestFit="1" customWidth="1"/>
    <col min="13" max="13" width="9.140625" style="47" customWidth="1"/>
    <col min="14" max="14" width="9.7109375" style="47" bestFit="1" customWidth="1"/>
    <col min="15" max="15" width="10.140625" style="47" customWidth="1"/>
    <col min="16" max="16" width="9.28515625" style="47" bestFit="1" customWidth="1"/>
    <col min="17" max="17" width="10.28515625" style="47" customWidth="1"/>
    <col min="18" max="18" width="5.85546875" style="47" customWidth="1"/>
    <col min="19" max="16384" width="9.140625" style="47"/>
  </cols>
  <sheetData>
    <row r="1" spans="1:31">
      <c r="A1" s="43" t="s">
        <v>94</v>
      </c>
      <c r="B1" s="43"/>
      <c r="C1" s="43" t="str">
        <f>Introduction!D9</f>
        <v>Afrique du sud</v>
      </c>
      <c r="D1" s="43"/>
      <c r="E1" s="43"/>
      <c r="F1" s="43"/>
      <c r="G1" s="43"/>
      <c r="H1" s="43"/>
      <c r="I1" s="43"/>
      <c r="J1" s="44"/>
      <c r="K1" s="75" t="s">
        <v>107</v>
      </c>
      <c r="L1" s="43"/>
      <c r="M1" s="43"/>
      <c r="N1" s="43"/>
      <c r="O1" s="45" t="s">
        <v>110</v>
      </c>
      <c r="P1" s="46"/>
      <c r="Q1" s="46"/>
      <c r="R1" s="43"/>
    </row>
    <row r="2" spans="1:31">
      <c r="A2" s="43" t="s">
        <v>84</v>
      </c>
      <c r="B2" s="43"/>
      <c r="C2" s="43" t="str">
        <f>Introduction!D10</f>
        <v>Homme</v>
      </c>
      <c r="D2" s="43"/>
      <c r="E2" s="43"/>
      <c r="F2" s="43"/>
      <c r="G2" s="43"/>
      <c r="H2" s="43"/>
      <c r="I2" s="43"/>
      <c r="J2" s="44"/>
      <c r="K2" s="75" t="s">
        <v>108</v>
      </c>
      <c r="L2" s="48">
        <v>45</v>
      </c>
      <c r="M2" s="49" t="s">
        <v>2</v>
      </c>
      <c r="N2" s="50">
        <f ca="1">INTERCEPT(INDIRECT(ADDRESS(ROW(J7)+L2/5,J6)):INDIRECT(ADDRESS(ROW(J7)+L3/5,J6)),INDIRECT(ADDRESS(ROW(L7)+L2/5,L6)):INDIRECT(ADDRESS(ROW(L7)+L3/5,L6)))</f>
        <v>0.23493935815805705</v>
      </c>
      <c r="O2" s="46" t="s">
        <v>3</v>
      </c>
      <c r="P2" s="51">
        <f ca="1">1-N19/N10</f>
        <v>0.53941018165497367</v>
      </c>
      <c r="Q2" s="51"/>
      <c r="R2" s="43"/>
    </row>
    <row r="3" spans="1:31" ht="15.75">
      <c r="A3" s="1" t="s">
        <v>106</v>
      </c>
      <c r="B3" s="1"/>
      <c r="C3" s="1"/>
      <c r="D3" s="1"/>
      <c r="E3" s="121" t="s">
        <v>67</v>
      </c>
      <c r="F3" s="43"/>
      <c r="G3" s="43"/>
      <c r="H3" s="43"/>
      <c r="I3" s="43"/>
      <c r="J3" s="44"/>
      <c r="K3" s="75" t="s">
        <v>109</v>
      </c>
      <c r="L3" s="48">
        <v>80</v>
      </c>
      <c r="M3" s="49" t="s">
        <v>4</v>
      </c>
      <c r="N3" s="50">
        <f ca="1">SLOPE(INDIRECT(ADDRESS(ROW(J7)+L2/5,J6)):INDIRECT(ADDRESS(ROW(J7)+L3/5,J6)),INDIRECT(ADDRESS(ROW(L7)+L2/5,L6)):INDIRECT(ADDRESS(ROW(L7)+L3/5,L6)))</f>
        <v>1.1475897603925562</v>
      </c>
      <c r="O3" s="46" t="s">
        <v>5</v>
      </c>
      <c r="P3" s="51">
        <f ca="1">1-N17/N10</f>
        <v>0.41125949728139244</v>
      </c>
      <c r="Q3" s="51"/>
      <c r="R3" s="43"/>
    </row>
    <row r="4" spans="1:31">
      <c r="A4" s="43"/>
      <c r="B4" s="43"/>
      <c r="C4" s="43"/>
      <c r="D4" s="43"/>
      <c r="E4" s="43"/>
      <c r="F4" s="43"/>
      <c r="G4" s="43"/>
      <c r="H4" s="43"/>
      <c r="I4" s="43"/>
      <c r="J4" s="44"/>
      <c r="K4" s="43"/>
      <c r="L4" s="43"/>
      <c r="M4" s="43"/>
      <c r="N4" s="43"/>
      <c r="O4" s="43"/>
      <c r="P4" s="43"/>
      <c r="Q4" s="43"/>
      <c r="R4" s="43"/>
    </row>
    <row r="5" spans="1:31" ht="42.75" customHeight="1">
      <c r="A5" s="52" t="s">
        <v>1</v>
      </c>
      <c r="B5" s="53" t="s">
        <v>111</v>
      </c>
      <c r="C5" s="53" t="s">
        <v>112</v>
      </c>
      <c r="D5" s="53" t="s">
        <v>113</v>
      </c>
      <c r="E5" s="54" t="s">
        <v>114</v>
      </c>
      <c r="F5" s="54" t="s">
        <v>115</v>
      </c>
      <c r="G5" s="55" t="s">
        <v>0</v>
      </c>
      <c r="H5" s="56" t="s">
        <v>37</v>
      </c>
      <c r="I5" s="56" t="s">
        <v>38</v>
      </c>
      <c r="J5" s="57" t="s">
        <v>39</v>
      </c>
      <c r="K5" s="54" t="str">
        <f>Modèles!B23&amp;" Cdn. ls(x)"</f>
        <v>SIDA Cdn. ls(x)</v>
      </c>
      <c r="L5" s="58" t="s">
        <v>40</v>
      </c>
      <c r="M5" s="58" t="s">
        <v>116</v>
      </c>
      <c r="N5" s="59" t="s">
        <v>117</v>
      </c>
      <c r="O5" s="60" t="s">
        <v>41</v>
      </c>
      <c r="P5" s="61" t="s">
        <v>42</v>
      </c>
      <c r="Q5" s="62" t="s">
        <v>118</v>
      </c>
      <c r="R5" s="56" t="s">
        <v>1</v>
      </c>
    </row>
    <row r="6" spans="1:31">
      <c r="A6" s="63">
        <f>COLUMN()</f>
        <v>1</v>
      </c>
      <c r="B6" s="63"/>
      <c r="C6" s="63">
        <f>COLUMN()</f>
        <v>3</v>
      </c>
      <c r="D6" s="63">
        <f>COLUMN()</f>
        <v>4</v>
      </c>
      <c r="E6" s="63">
        <f>COLUMN()</f>
        <v>5</v>
      </c>
      <c r="F6" s="63">
        <f>COLUMN()</f>
        <v>6</v>
      </c>
      <c r="G6" s="63">
        <f>COLUMN()</f>
        <v>7</v>
      </c>
      <c r="H6" s="63">
        <f>COLUMN()</f>
        <v>8</v>
      </c>
      <c r="I6" s="63">
        <f>COLUMN()</f>
        <v>9</v>
      </c>
      <c r="J6" s="63">
        <f>COLUMN()</f>
        <v>10</v>
      </c>
      <c r="K6" s="63">
        <f>COLUMN()</f>
        <v>11</v>
      </c>
      <c r="L6" s="63">
        <f>COLUMN()</f>
        <v>12</v>
      </c>
      <c r="M6" s="63">
        <f>COLUMN()</f>
        <v>13</v>
      </c>
      <c r="N6" s="63">
        <f>COLUMN()</f>
        <v>14</v>
      </c>
      <c r="O6" s="63">
        <f>COLUMN()</f>
        <v>15</v>
      </c>
      <c r="P6" s="63">
        <f>COLUMN()</f>
        <v>16</v>
      </c>
      <c r="Q6" s="63">
        <f>COLUMN()</f>
        <v>17</v>
      </c>
      <c r="R6" s="63">
        <f>COLUMN()</f>
        <v>18</v>
      </c>
    </row>
    <row r="7" spans="1:31">
      <c r="A7" s="64" t="s">
        <v>43</v>
      </c>
      <c r="B7" s="83"/>
      <c r="C7" s="83"/>
      <c r="D7" s="65"/>
      <c r="E7" s="65"/>
      <c r="F7" s="66"/>
      <c r="G7" s="43">
        <v>0</v>
      </c>
      <c r="H7" s="43"/>
      <c r="I7" s="43"/>
      <c r="J7" s="43"/>
      <c r="K7" s="43"/>
      <c r="L7" s="43"/>
      <c r="M7" s="43"/>
      <c r="N7" s="43"/>
      <c r="O7" s="43"/>
      <c r="P7" s="43"/>
      <c r="Q7" s="43"/>
      <c r="R7" s="43">
        <v>0</v>
      </c>
      <c r="AD7" s="43"/>
      <c r="AE7" s="43"/>
    </row>
    <row r="8" spans="1:31">
      <c r="A8" s="64" t="s">
        <v>44</v>
      </c>
      <c r="B8" s="83">
        <f>IF(Méthode!M$2&lt;0,Méthode!C9*EXP(-Méthode!M$2*Méthode!G$3),Méthode!C9)</f>
        <v>2491035.9987398256</v>
      </c>
      <c r="C8" s="83">
        <f>IF(Méthode!M$2&lt;0,Méthode!D9,Méthode!D9*EXP(-Méthode!M$2*Méthode!G$3))</f>
        <v>2560641.9</v>
      </c>
      <c r="D8" s="65">
        <f ca="1">Méthode!E9/Méthode!P$28</f>
        <v>24291.602465952888</v>
      </c>
      <c r="E8" s="65">
        <f>Méthode!G$3*('Espérances de vie'!B8*'Espérances de vie'!C8)^0.5</f>
        <v>13522231.847246164</v>
      </c>
      <c r="F8" s="66">
        <f t="shared" ref="F8:F20" ca="1" si="0">D8/E8</f>
        <v>1.796419610339689E-3</v>
      </c>
      <c r="G8" s="43">
        <v>5</v>
      </c>
      <c r="H8" s="67">
        <f ca="1">5*F8/(1+2.5*F8)</f>
        <v>8.9419393636302105E-3</v>
      </c>
      <c r="I8" s="43">
        <v>1</v>
      </c>
      <c r="J8" s="43"/>
      <c r="K8" s="68">
        <f>Modèles!D26</f>
        <v>1</v>
      </c>
      <c r="L8" s="43"/>
      <c r="M8" s="43"/>
      <c r="N8" s="69">
        <v>1</v>
      </c>
      <c r="O8" s="70">
        <f t="shared" ref="O8:O24" ca="1" si="1">O9+2.5*(N9+N8)</f>
        <v>49.911402583758417</v>
      </c>
      <c r="P8" s="71">
        <f t="shared" ref="P8:P24" ca="1" si="2">O8/N8</f>
        <v>49.911402583758417</v>
      </c>
      <c r="Q8" s="66">
        <f t="shared" ref="Q8:Q24" ca="1" si="3">(N8-N9)/(2.5*(N8+N9))</f>
        <v>3.9699693251408789E-3</v>
      </c>
      <c r="R8" s="43">
        <v>5</v>
      </c>
    </row>
    <row r="9" spans="1:31">
      <c r="A9" s="64" t="s">
        <v>45</v>
      </c>
      <c r="B9" s="83">
        <f>IF(Méthode!M$2&lt;0,Méthode!C10*EXP(-Méthode!M$2*Méthode!G$3),Méthode!C10)</f>
        <v>2587509.9132500472</v>
      </c>
      <c r="C9" s="83">
        <f>IF(Méthode!M$2&lt;0,Méthode!D10,Méthode!D10*EXP(-Méthode!M$2*Méthode!G$3))</f>
        <v>2452338.7999999998</v>
      </c>
      <c r="D9" s="65">
        <f ca="1">Méthode!E10/Méthode!P$28</f>
        <v>17629.45830609489</v>
      </c>
      <c r="E9" s="65">
        <f>Méthode!G$3*('Espérances de vie'!B9*'Espérances de vie'!C9)^0.5</f>
        <v>13486995.0511229</v>
      </c>
      <c r="F9" s="66">
        <f t="shared" ca="1" si="0"/>
        <v>1.307145011862898E-3</v>
      </c>
      <c r="G9" s="43">
        <v>10</v>
      </c>
      <c r="H9" s="67">
        <f t="shared" ref="H9:H19" ca="1" si="4">5*F9/(1+2.5*F9)</f>
        <v>6.5144367754740974E-3</v>
      </c>
      <c r="I9" s="67">
        <f t="shared" ref="I9:I25" ca="1" si="5">I8*(1-H8)</f>
        <v>0.99105806063636981</v>
      </c>
      <c r="J9" s="50">
        <f t="shared" ref="J9:J25" ca="1" si="6">IF(I9=0,NA(),0.5*LN((1-I9)/I9))</f>
        <v>-2.3540103119136933</v>
      </c>
      <c r="K9" s="68">
        <f>Modèles!D27</f>
        <v>0.97846334922721911</v>
      </c>
      <c r="L9" s="50">
        <f>0.5*LN((K$8-K9)/K9)</f>
        <v>-1.9081135795731925</v>
      </c>
      <c r="M9" s="50">
        <f t="shared" ref="M9:M27" ca="1" si="7">N$2+N$3*L9</f>
        <v>-1.9547922474261259</v>
      </c>
      <c r="N9" s="72">
        <f ca="1">(1/(1+EXP(2*M9)))</f>
        <v>0.9803452255039008</v>
      </c>
      <c r="O9" s="70">
        <f t="shared" ca="1" si="1"/>
        <v>44.960539519998662</v>
      </c>
      <c r="P9" s="71">
        <f t="shared" ca="1" si="2"/>
        <v>45.861945721099211</v>
      </c>
      <c r="Q9" s="66">
        <f t="shared" ca="1" si="3"/>
        <v>3.4372311682315214E-3</v>
      </c>
      <c r="R9" s="43">
        <v>10</v>
      </c>
    </row>
    <row r="10" spans="1:31">
      <c r="A10" s="64" t="s">
        <v>46</v>
      </c>
      <c r="B10" s="83">
        <f>IF(Méthode!M$2&lt;0,Méthode!C11*EXP(-Méthode!M$2*Méthode!G$3),Méthode!C11)</f>
        <v>2519890.1417629854</v>
      </c>
      <c r="C10" s="83">
        <f>IF(Méthode!M$2&lt;0,Méthode!D11,Méthode!D11*EXP(-Méthode!M$2*Méthode!G$3))</f>
        <v>2553292.9</v>
      </c>
      <c r="D10" s="65">
        <f ca="1">Méthode!E11/Méthode!P$28</f>
        <v>40708.555437783907</v>
      </c>
      <c r="E10" s="65">
        <f>Méthode!G$3*('Espérances de vie'!B10*'Espérances de vie'!C10)^0.5</f>
        <v>13580791.283331366</v>
      </c>
      <c r="F10" s="66">
        <f t="shared" ca="1" si="0"/>
        <v>2.9975098349201714E-3</v>
      </c>
      <c r="G10" s="43">
        <v>15</v>
      </c>
      <c r="H10" s="67">
        <f ca="1">5*F10/(1+2.5*F10)</f>
        <v>1.4876071249909415E-2</v>
      </c>
      <c r="I10" s="67">
        <f t="shared" ca="1" si="5"/>
        <v>0.98460187555953016</v>
      </c>
      <c r="J10" s="50">
        <f t="shared" ca="1" si="6"/>
        <v>-2.0789958298972238</v>
      </c>
      <c r="K10" s="68">
        <f>Modèles!D28</f>
        <v>0.96321636510484787</v>
      </c>
      <c r="L10" s="50">
        <f t="shared" ref="L10:L27" si="8">0.5*LN((K$8-K10)/K10)</f>
        <v>-1.6326125112156291</v>
      </c>
      <c r="M10" s="50">
        <f t="shared" ca="1" si="7"/>
        <v>-1.6386300424017763</v>
      </c>
      <c r="N10" s="72">
        <f t="shared" ref="N10:N27" ca="1" si="9">(1/(1+EXP(2*M10)))</f>
        <v>0.96364040550019703</v>
      </c>
      <c r="O10" s="70">
        <f t="shared" ca="1" si="1"/>
        <v>40.100575442488413</v>
      </c>
      <c r="P10" s="71">
        <f t="shared" ca="1" si="2"/>
        <v>41.613630160799865</v>
      </c>
      <c r="Q10" s="66">
        <f t="shared" ca="1" si="3"/>
        <v>2.9040712238350952E-3</v>
      </c>
      <c r="R10" s="43">
        <v>15</v>
      </c>
    </row>
    <row r="11" spans="1:31">
      <c r="A11" s="64" t="s">
        <v>47</v>
      </c>
      <c r="B11" s="83">
        <f>IF(Méthode!M$2&lt;0,Méthode!C12*EXP(-Méthode!M$2*Méthode!G$3),Méthode!C12)</f>
        <v>2156528.2443308216</v>
      </c>
      <c r="C11" s="83">
        <f>IF(Méthode!M$2&lt;0,Méthode!D12,Méthode!D12*EXP(-Méthode!M$2*Méthode!G$3))</f>
        <v>2362519</v>
      </c>
      <c r="D11" s="65">
        <f ca="1">Méthode!E12/Méthode!P$28</f>
        <v>80248.15807624365</v>
      </c>
      <c r="E11" s="65">
        <f>Méthode!G$3*('Espérances de vie'!B11*'Espérances de vie'!C11)^0.5</f>
        <v>12085070.338813191</v>
      </c>
      <c r="F11" s="66">
        <f t="shared" ca="1" si="0"/>
        <v>6.640272321668951E-3</v>
      </c>
      <c r="G11" s="43">
        <v>20</v>
      </c>
      <c r="H11" s="67">
        <f t="shared" ca="1" si="4"/>
        <v>3.2659196708466821E-2</v>
      </c>
      <c r="I11" s="67">
        <f t="shared" ca="1" si="5"/>
        <v>0.96995486790591212</v>
      </c>
      <c r="J11" s="50">
        <f t="shared" ca="1" si="6"/>
        <v>-1.7372744440826222</v>
      </c>
      <c r="K11" s="68">
        <f>Modèles!D29</f>
        <v>0.95122864220369541</v>
      </c>
      <c r="L11" s="50">
        <f t="shared" si="8"/>
        <v>-1.4853056232155615</v>
      </c>
      <c r="M11" s="50">
        <f t="shared" ca="1" si="7"/>
        <v>-1.4695821660976056</v>
      </c>
      <c r="N11" s="72">
        <f t="shared" ca="1" si="9"/>
        <v>0.94974885874447712</v>
      </c>
      <c r="O11" s="70">
        <f t="shared" ca="1" si="1"/>
        <v>35.317102281876728</v>
      </c>
      <c r="P11" s="71">
        <f t="shared" ca="1" si="2"/>
        <v>37.185727528606101</v>
      </c>
      <c r="Q11" s="66">
        <f t="shared" ca="1" si="3"/>
        <v>4.8492680398448647E-3</v>
      </c>
      <c r="R11" s="43">
        <v>20</v>
      </c>
    </row>
    <row r="12" spans="1:31">
      <c r="A12" s="64" t="s">
        <v>48</v>
      </c>
      <c r="B12" s="83">
        <f>IF(Méthode!M$2&lt;0,Méthode!C13*EXP(-Méthode!M$2*Méthode!G$3),Méthode!C13)</f>
        <v>1950941.7048882719</v>
      </c>
      <c r="C12" s="83">
        <f>IF(Méthode!M$2&lt;0,Méthode!D13,Méthode!D13*EXP(-Méthode!M$2*Méthode!G$3))</f>
        <v>2033165.3</v>
      </c>
      <c r="D12" s="65">
        <f ca="1">Méthode!E13/Méthode!P$28</f>
        <v>133225.33011663504</v>
      </c>
      <c r="E12" s="65">
        <f>Méthode!G$3*('Espérances de vie'!B12*'Espérances de vie'!C12)^0.5</f>
        <v>10663320.01861581</v>
      </c>
      <c r="F12" s="66">
        <f t="shared" ca="1" si="0"/>
        <v>1.2493794604687183E-2</v>
      </c>
      <c r="G12" s="43">
        <v>25</v>
      </c>
      <c r="H12" s="67">
        <f t="shared" ca="1" si="4"/>
        <v>6.057688512216574E-2</v>
      </c>
      <c r="I12" s="67">
        <f t="shared" ca="1" si="5"/>
        <v>0.93827692107663796</v>
      </c>
      <c r="J12" s="50">
        <f t="shared" ca="1" si="6"/>
        <v>-1.3606936094353452</v>
      </c>
      <c r="K12" s="68">
        <f>Modèles!D30</f>
        <v>0.93239300666569136</v>
      </c>
      <c r="L12" s="50">
        <f t="shared" si="8"/>
        <v>-1.3120214886929051</v>
      </c>
      <c r="M12" s="50">
        <f t="shared" ca="1" si="7"/>
        <v>-1.2707230676809189</v>
      </c>
      <c r="N12" s="72">
        <f t="shared" ca="1" si="9"/>
        <v>0.92699675246607105</v>
      </c>
      <c r="O12" s="70">
        <f t="shared" ca="1" si="1"/>
        <v>30.625238253850355</v>
      </c>
      <c r="P12" s="71">
        <f t="shared" ca="1" si="2"/>
        <v>33.037050207973913</v>
      </c>
      <c r="Q12" s="66">
        <f t="shared" ca="1" si="3"/>
        <v>9.9131845636803839E-3</v>
      </c>
      <c r="R12" s="43">
        <v>25</v>
      </c>
    </row>
    <row r="13" spans="1:31">
      <c r="A13" s="64" t="s">
        <v>49</v>
      </c>
      <c r="B13" s="83">
        <f>IF(Méthode!M$2&lt;0,Méthode!C14*EXP(-Méthode!M$2*Méthode!G$3),Méthode!C14)</f>
        <v>1638003.1671115325</v>
      </c>
      <c r="C13" s="83">
        <f>IF(Méthode!M$2&lt;0,Méthode!D14,Méthode!D14*EXP(-Méthode!M$2*Méthode!G$3))</f>
        <v>1875482.6</v>
      </c>
      <c r="D13" s="65">
        <f ca="1">Méthode!E14/Méthode!P$28</f>
        <v>161485.05427124692</v>
      </c>
      <c r="E13" s="65">
        <f>Méthode!G$3*('Espérances de vie'!B13*'Espérances de vie'!C13)^0.5</f>
        <v>9384212.6493656021</v>
      </c>
      <c r="F13" s="66">
        <f t="shared" ca="1" si="0"/>
        <v>1.7208162293952677E-2</v>
      </c>
      <c r="G13" s="43">
        <v>30</v>
      </c>
      <c r="H13" s="67">
        <f t="shared" ca="1" si="4"/>
        <v>8.2491973308174676E-2</v>
      </c>
      <c r="I13" s="67">
        <f t="shared" ca="1" si="5"/>
        <v>0.88143902781579908</v>
      </c>
      <c r="J13" s="50">
        <f t="shared" ca="1" si="6"/>
        <v>-1.0030642346627379</v>
      </c>
      <c r="K13" s="68">
        <f>Modèles!D31</f>
        <v>0.89693312918052914</v>
      </c>
      <c r="L13" s="50">
        <f t="shared" si="8"/>
        <v>-1.0818016505220522</v>
      </c>
      <c r="M13" s="50">
        <f t="shared" ca="1" si="7"/>
        <v>-1.0065251387568168</v>
      </c>
      <c r="N13" s="72">
        <f t="shared" ca="1" si="9"/>
        <v>0.88216047862476987</v>
      </c>
      <c r="O13" s="70">
        <f t="shared" ca="1" si="1"/>
        <v>26.102345176123254</v>
      </c>
      <c r="P13" s="71">
        <f t="shared" ca="1" si="2"/>
        <v>29.589111968397283</v>
      </c>
      <c r="Q13" s="66">
        <f t="shared" ca="1" si="3"/>
        <v>1.7057708862110894E-2</v>
      </c>
      <c r="R13" s="43">
        <v>30</v>
      </c>
    </row>
    <row r="14" spans="1:31">
      <c r="A14" s="64" t="s">
        <v>50</v>
      </c>
      <c r="B14" s="83">
        <f>IF(Méthode!M$2&lt;0,Méthode!C15*EXP(-Méthode!M$2*Méthode!G$3),Méthode!C15)</f>
        <v>1480874.9472530894</v>
      </c>
      <c r="C14" s="83">
        <f>IF(Méthode!M$2&lt;0,Méthode!D15,Méthode!D15*EXP(-Méthode!M$2*Méthode!G$3))</f>
        <v>1548185.2</v>
      </c>
      <c r="D14" s="65">
        <f ca="1">Méthode!E15/Méthode!P$28</f>
        <v>170292.3931200082</v>
      </c>
      <c r="E14" s="65">
        <f>Méthode!G$3*('Espérances de vie'!B14*'Espérances de vie'!C14)^0.5</f>
        <v>8106895.9873382058</v>
      </c>
      <c r="F14" s="66">
        <f t="shared" ca="1" si="0"/>
        <v>2.1005868754943962E-2</v>
      </c>
      <c r="G14" s="43">
        <v>35</v>
      </c>
      <c r="H14" s="67">
        <f t="shared" ca="1" si="4"/>
        <v>9.9788959318146256E-2</v>
      </c>
      <c r="I14" s="67">
        <f t="shared" ca="1" si="5"/>
        <v>0.80872738306043468</v>
      </c>
      <c r="J14" s="50">
        <f t="shared" ca="1" si="6"/>
        <v>-0.72088107794896938</v>
      </c>
      <c r="K14" s="68">
        <f>Modèles!D32</f>
        <v>0.8419717107544703</v>
      </c>
      <c r="L14" s="50">
        <f t="shared" si="8"/>
        <v>-0.83648617657059132</v>
      </c>
      <c r="M14" s="50">
        <f t="shared" ca="1" si="7"/>
        <v>-0.72500361278427339</v>
      </c>
      <c r="N14" s="72">
        <f t="shared" ca="1" si="9"/>
        <v>0.80999954600421098</v>
      </c>
      <c r="O14" s="70">
        <f t="shared" ca="1" si="1"/>
        <v>21.871945114550801</v>
      </c>
      <c r="P14" s="71">
        <f t="shared" ca="1" si="2"/>
        <v>27.002416510536037</v>
      </c>
      <c r="Q14" s="66">
        <f t="shared" ca="1" si="3"/>
        <v>2.1645444591530515E-2</v>
      </c>
      <c r="R14" s="43">
        <v>35</v>
      </c>
    </row>
    <row r="15" spans="1:31">
      <c r="A15" s="64" t="s">
        <v>51</v>
      </c>
      <c r="B15" s="83">
        <f>IF(Méthode!M$2&lt;0,Méthode!C16*EXP(-Méthode!M$2*Méthode!G$3),Méthode!C16)</f>
        <v>1267376.8873561299</v>
      </c>
      <c r="C15" s="83">
        <f>IF(Méthode!M$2&lt;0,Méthode!D16,Méthode!D16*EXP(-Méthode!M$2*Méthode!G$3))</f>
        <v>1306899.8</v>
      </c>
      <c r="D15" s="65">
        <f ca="1">Méthode!E16/Méthode!P$28</f>
        <v>150111.84971473989</v>
      </c>
      <c r="E15" s="65">
        <f>Méthode!G$3*('Espérances de vie'!B15*'Espérances de vie'!C15)^0.5</f>
        <v>6890615.0666269707</v>
      </c>
      <c r="F15" s="66">
        <f t="shared" ca="1" si="0"/>
        <v>2.1784971045875189E-2</v>
      </c>
      <c r="G15" s="43">
        <v>40</v>
      </c>
      <c r="H15" s="67">
        <f t="shared" ca="1" si="4"/>
        <v>0.10329894397069811</v>
      </c>
      <c r="I15" s="67">
        <f t="shared" ca="1" si="5"/>
        <v>0.72802531913274604</v>
      </c>
      <c r="J15" s="50">
        <f t="shared" ca="1" si="6"/>
        <v>-0.49231342485197593</v>
      </c>
      <c r="K15" s="68">
        <f>Modèles!D33</f>
        <v>0.77940737993874531</v>
      </c>
      <c r="L15" s="50">
        <f t="shared" si="8"/>
        <v>-0.63110810464082734</v>
      </c>
      <c r="M15" s="50">
        <f t="shared" ca="1" si="7"/>
        <v>-0.48931384042851028</v>
      </c>
      <c r="N15" s="72">
        <f t="shared" ca="1" si="9"/>
        <v>0.72683583337743785</v>
      </c>
      <c r="O15" s="70">
        <f t="shared" ca="1" si="1"/>
        <v>18.029856666096681</v>
      </c>
      <c r="P15" s="71">
        <f t="shared" ca="1" si="2"/>
        <v>24.805954574798701</v>
      </c>
      <c r="Q15" s="66">
        <f t="shared" ca="1" si="3"/>
        <v>2.4765470453207317E-2</v>
      </c>
      <c r="R15" s="43">
        <v>40</v>
      </c>
    </row>
    <row r="16" spans="1:31">
      <c r="A16" s="64" t="s">
        <v>52</v>
      </c>
      <c r="B16" s="83">
        <f>IF(Méthode!M$2&lt;0,Méthode!C17*EXP(-Méthode!M$2*Méthode!G$3),Méthode!C17)</f>
        <v>994069.91049500252</v>
      </c>
      <c r="C16" s="83">
        <f>IF(Méthode!M$2&lt;0,Méthode!D17,Méthode!D17*EXP(-Méthode!M$2*Méthode!G$3))</f>
        <v>1104293.7</v>
      </c>
      <c r="D16" s="65">
        <f ca="1">Méthode!E17/Méthode!P$28</f>
        <v>128527.47458202233</v>
      </c>
      <c r="E16" s="65">
        <f>Méthode!G$3*('Espérances de vie'!B16*'Espérances de vie'!C16)^0.5</f>
        <v>5609636.4155083932</v>
      </c>
      <c r="F16" s="66">
        <f t="shared" ca="1" si="0"/>
        <v>2.2911908199022571E-2</v>
      </c>
      <c r="G16" s="43">
        <v>45</v>
      </c>
      <c r="H16" s="67">
        <f t="shared" ca="1" si="4"/>
        <v>0.10835310027846373</v>
      </c>
      <c r="I16" s="67">
        <f t="shared" ca="1" si="5"/>
        <v>0.65282107248240284</v>
      </c>
      <c r="J16" s="50">
        <f t="shared" ca="1" si="6"/>
        <v>-0.31573139748448509</v>
      </c>
      <c r="K16" s="68">
        <f>Modèles!D34</f>
        <v>0.71477651150388022</v>
      </c>
      <c r="L16" s="50">
        <f t="shared" si="8"/>
        <v>-0.45934843969023603</v>
      </c>
      <c r="M16" s="50">
        <f t="shared" ca="1" si="7"/>
        <v>-0.29220420768275551</v>
      </c>
      <c r="N16" s="72">
        <f t="shared" ca="1" si="9"/>
        <v>0.64208115057972581</v>
      </c>
      <c r="O16" s="70">
        <f t="shared" ca="1" si="1"/>
        <v>14.60756420620377</v>
      </c>
      <c r="P16" s="71">
        <f t="shared" ca="1" si="2"/>
        <v>22.750339568471698</v>
      </c>
      <c r="Q16" s="66">
        <f t="shared" ca="1" si="3"/>
        <v>2.4721702987273737E-2</v>
      </c>
      <c r="R16" s="43">
        <v>45</v>
      </c>
    </row>
    <row r="17" spans="1:18">
      <c r="A17" s="64" t="s">
        <v>53</v>
      </c>
      <c r="B17" s="83">
        <f>IF(Méthode!M$2&lt;0,Méthode!C18*EXP(-Méthode!M$2*Méthode!G$3),Méthode!C18)</f>
        <v>790563.45790264499</v>
      </c>
      <c r="C17" s="83">
        <f>IF(Méthode!M$2&lt;0,Méthode!D18,Méthode!D18*EXP(-Méthode!M$2*Méthode!G$3))</f>
        <v>888042.4</v>
      </c>
      <c r="D17" s="65">
        <f ca="1">Méthode!E18/Méthode!P$28</f>
        <v>127427.50232029546</v>
      </c>
      <c r="E17" s="65">
        <f>Méthode!G$3*('Espérances de vie'!B17*'Espérances de vie'!C17)^0.5</f>
        <v>4486102.2830285653</v>
      </c>
      <c r="F17" s="66">
        <f t="shared" ca="1" si="0"/>
        <v>2.84049480553237E-2</v>
      </c>
      <c r="G17" s="43">
        <v>50</v>
      </c>
      <c r="H17" s="67">
        <f t="shared" ca="1" si="4"/>
        <v>0.13260793641279567</v>
      </c>
      <c r="I17" s="67">
        <f t="shared" ca="1" si="5"/>
        <v>0.58208588535182282</v>
      </c>
      <c r="J17" s="50">
        <f t="shared" ca="1" si="6"/>
        <v>-0.16567103105629674</v>
      </c>
      <c r="K17" s="68">
        <f>Modèles!D35</f>
        <v>0.65601381508394385</v>
      </c>
      <c r="L17" s="50">
        <f t="shared" si="8"/>
        <v>-0.32279017593115344</v>
      </c>
      <c r="M17" s="50">
        <f t="shared" ca="1" si="7"/>
        <v>-0.13549134249584638</v>
      </c>
      <c r="N17" s="72">
        <f t="shared" ca="1" si="9"/>
        <v>0.56733413677414879</v>
      </c>
      <c r="O17" s="70">
        <f t="shared" ca="1" si="1"/>
        <v>11.584025987819084</v>
      </c>
      <c r="P17" s="71">
        <f t="shared" ca="1" si="2"/>
        <v>20.418348265954236</v>
      </c>
      <c r="Q17" s="66">
        <f t="shared" ca="1" si="3"/>
        <v>2.3422500377541698E-2</v>
      </c>
      <c r="R17" s="43">
        <v>50</v>
      </c>
    </row>
    <row r="18" spans="1:18">
      <c r="A18" s="64" t="s">
        <v>54</v>
      </c>
      <c r="B18" s="83">
        <f>IF(Méthode!M$2&lt;0,Méthode!C19*EXP(-Méthode!M$2*Méthode!G$3),Méthode!C19)</f>
        <v>567429.2030715358</v>
      </c>
      <c r="C18" s="83">
        <f>IF(Méthode!M$2&lt;0,Méthode!D19,Méthode!D19*EXP(-Méthode!M$2*Méthode!G$3))</f>
        <v>708812.3</v>
      </c>
      <c r="D18" s="65">
        <f ca="1">Méthode!E19/Méthode!P$28</f>
        <v>104924.70172433837</v>
      </c>
      <c r="E18" s="65">
        <f>Méthode!G$3*('Espérances de vie'!B18*'Espérances de vie'!C18)^0.5</f>
        <v>3395513.1483130599</v>
      </c>
      <c r="F18" s="66">
        <f t="shared" ca="1" si="0"/>
        <v>3.0900985253573966E-2</v>
      </c>
      <c r="G18" s="43">
        <v>55</v>
      </c>
      <c r="H18" s="67">
        <f t="shared" ca="1" si="4"/>
        <v>0.14342499233502354</v>
      </c>
      <c r="I18" s="67">
        <f t="shared" ca="1" si="5"/>
        <v>0.50489667728030241</v>
      </c>
      <c r="J18" s="50">
        <f t="shared" ca="1" si="6"/>
        <v>-9.7936676714946366E-3</v>
      </c>
      <c r="K18" s="68">
        <f>Modèles!D36</f>
        <v>0.60476738722405798</v>
      </c>
      <c r="L18" s="50">
        <f t="shared" si="8"/>
        <v>-0.21268470774774717</v>
      </c>
      <c r="M18" s="50">
        <f t="shared" ca="1" si="7"/>
        <v>-9.1354346453409729E-3</v>
      </c>
      <c r="N18" s="72">
        <f t="shared" ca="1" si="9"/>
        <v>0.50456759025885356</v>
      </c>
      <c r="O18" s="70">
        <f t="shared" ca="1" si="1"/>
        <v>8.9042716702365787</v>
      </c>
      <c r="P18" s="71">
        <f t="shared" ca="1" si="2"/>
        <v>17.647331779015978</v>
      </c>
      <c r="Q18" s="66">
        <f t="shared" ca="1" si="3"/>
        <v>2.5611115762726403E-2</v>
      </c>
      <c r="R18" s="43">
        <v>55</v>
      </c>
    </row>
    <row r="19" spans="1:18">
      <c r="A19" s="64" t="s">
        <v>55</v>
      </c>
      <c r="B19" s="83">
        <f>IF(Méthode!M$2&lt;0,Méthode!C20*EXP(-Méthode!M$2*Méthode!G$3),Méthode!C20)</f>
        <v>456686.40637068701</v>
      </c>
      <c r="C19" s="83">
        <f>IF(Méthode!M$2&lt;0,Méthode!D20,Méthode!D20*EXP(-Méthode!M$2*Méthode!G$3))</f>
        <v>491870.6</v>
      </c>
      <c r="D19" s="65">
        <f ca="1">Méthode!E20/Méthode!P$28</f>
        <v>94334.910883710807</v>
      </c>
      <c r="E19" s="65">
        <f>Méthode!G$3*('Espérances de vie'!B19*'Espérances de vie'!C19)^0.5</f>
        <v>2537572.3120070128</v>
      </c>
      <c r="F19" s="66">
        <f t="shared" ca="1" si="0"/>
        <v>3.7175260163955517E-2</v>
      </c>
      <c r="G19" s="43">
        <v>60</v>
      </c>
      <c r="H19" s="67">
        <f t="shared" ca="1" si="4"/>
        <v>0.17007028325442541</v>
      </c>
      <c r="I19" s="67">
        <f t="shared" ca="1" si="5"/>
        <v>0.43248187521139619</v>
      </c>
      <c r="J19" s="50">
        <f t="shared" ca="1" si="6"/>
        <v>0.13586613416545132</v>
      </c>
      <c r="K19" s="68">
        <f>Modèles!D37</f>
        <v>0.55301990265857381</v>
      </c>
      <c r="L19" s="50">
        <f t="shared" si="8"/>
        <v>-0.10643996127832432</v>
      </c>
      <c r="M19" s="50">
        <f t="shared" ca="1" si="7"/>
        <v>0.11278994849847189</v>
      </c>
      <c r="N19" s="72">
        <f t="shared" ca="1" si="9"/>
        <v>0.44384295931926326</v>
      </c>
      <c r="O19" s="70">
        <f t="shared" ca="1" si="1"/>
        <v>6.5332452962912857</v>
      </c>
      <c r="P19" s="71">
        <f t="shared" ca="1" si="2"/>
        <v>14.719722728758708</v>
      </c>
      <c r="Q19" s="66">
        <f t="shared" ca="1" si="3"/>
        <v>3.319230611288209E-2</v>
      </c>
      <c r="R19" s="43">
        <v>60</v>
      </c>
    </row>
    <row r="20" spans="1:18">
      <c r="A20" s="120" t="str">
        <f>IF(D20=0,"", IF(D21=0, "65+", "65-69"))</f>
        <v>65-69</v>
      </c>
      <c r="B20" s="83">
        <f>IF(Méthode!M$2&lt;0,Méthode!C21*EXP(-Méthode!M$2*Méthode!G$3),Méthode!C21)</f>
        <v>313127.54319917673</v>
      </c>
      <c r="C20" s="83">
        <f>IF(Méthode!M$2&lt;0,Méthode!D21,Méthode!D21*EXP(-Méthode!M$2*Méthode!G$3))</f>
        <v>394304.6</v>
      </c>
      <c r="D20" s="65">
        <f>IF(E$3="Yes",IF(Méthode!B21&lt;Méthode!J$3,Méthode!E21/Méthode!K21,Méthode!E21/VLOOKUP(Méthode!J$3,Méthode!B$9:'Méthode'!K$25,10)),Méthode!E21/Méthode!P$28)</f>
        <v>90368.9894056989</v>
      </c>
      <c r="E20" s="65">
        <f>Méthode!G$3*('Espérances de vie'!B20*'Espérances de vie'!C20)^0.5</f>
        <v>1881310.6297320735</v>
      </c>
      <c r="F20" s="66">
        <f t="shared" si="0"/>
        <v>4.8035124012757419E-2</v>
      </c>
      <c r="G20" s="43">
        <v>65</v>
      </c>
      <c r="H20" s="67">
        <f t="shared" ref="H20:H22" si="10">IF(D21=0,NA(),5*F20/(1+2.5*F20))</f>
        <v>0.21442570654969301</v>
      </c>
      <c r="I20" s="67">
        <f t="shared" ca="1" si="5"/>
        <v>0.35892956019178895</v>
      </c>
      <c r="J20" s="50">
        <f t="shared" ca="1" si="6"/>
        <v>0.29000659165408205</v>
      </c>
      <c r="K20" s="68">
        <f>Modèles!D38</f>
        <v>0.49184811509613446</v>
      </c>
      <c r="L20" s="50">
        <f t="shared" si="8"/>
        <v>1.6305214622333544E-2</v>
      </c>
      <c r="M20" s="50">
        <f t="shared" ca="1" si="7"/>
        <v>0.25365105549965</v>
      </c>
      <c r="N20" s="72">
        <f t="shared" ca="1" si="9"/>
        <v>0.37582618633468712</v>
      </c>
      <c r="O20" s="70">
        <f t="shared" ca="1" si="1"/>
        <v>4.4840724321564096</v>
      </c>
      <c r="P20" s="71">
        <f t="shared" ca="1" si="2"/>
        <v>11.93124001253914</v>
      </c>
      <c r="Q20" s="66">
        <f t="shared" ca="1" si="3"/>
        <v>4.9213950783974773E-2</v>
      </c>
      <c r="R20" s="43">
        <v>65</v>
      </c>
    </row>
    <row r="21" spans="1:18">
      <c r="A21" s="120" t="str">
        <f>IF(D21=0,"", IF(D22=0,"70+", "70-74"))</f>
        <v>70-74</v>
      </c>
      <c r="B21" s="83">
        <f>IF(Méthode!M$2&lt;0,Méthode!C22*EXP(-Méthode!M$2*Méthode!G$3),Méthode!C22)</f>
        <v>238931.61565535882</v>
      </c>
      <c r="C21" s="83">
        <f>IF(Méthode!M$2&lt;0,Méthode!D22,Méthode!D22*EXP(-Méthode!M$2*Méthode!G$3))</f>
        <v>241976.3</v>
      </c>
      <c r="D21" s="65">
        <f>IF(E$3="Yes",IF(Méthode!B22&lt;Méthode!J$3,Méthode!E22/Méthode!K22,Méthode!E22/VLOOKUP(Méthode!J$3,Méthode!B$9:'Méthode'!K$25,10)),Méthode!E22/Méthode!P$28)</f>
        <v>83573.980404070811</v>
      </c>
      <c r="E21" s="65">
        <f>Méthode!G$3*('Espérances de vie'!B21*'Espérances de vie'!C21)^0.5</f>
        <v>1287381.2454341105</v>
      </c>
      <c r="F21" s="66">
        <f t="shared" ref="F21:F23" si="11">IF(E21&gt;0,D21/E21,NA())</f>
        <v>6.4917817235941866E-2</v>
      </c>
      <c r="G21" s="43">
        <v>70</v>
      </c>
      <c r="H21" s="67">
        <f t="shared" si="10"/>
        <v>0.27926577484982307</v>
      </c>
      <c r="I21" s="67">
        <f t="shared" ca="1" si="5"/>
        <v>0.28196583564609401</v>
      </c>
      <c r="J21" s="50">
        <f t="shared" ca="1" si="6"/>
        <v>0.46736561858706593</v>
      </c>
      <c r="K21" s="68">
        <f>Modèles!D39</f>
        <v>0.41190093447378456</v>
      </c>
      <c r="L21" s="50">
        <f t="shared" si="8"/>
        <v>0.17805627118169123</v>
      </c>
      <c r="M21" s="50">
        <f t="shared" ca="1" si="7"/>
        <v>0.43927491173984612</v>
      </c>
      <c r="N21" s="72">
        <f t="shared" ca="1" si="9"/>
        <v>0.29347838121721503</v>
      </c>
      <c r="O21" s="70">
        <f t="shared" ca="1" si="1"/>
        <v>2.8108110132766537</v>
      </c>
      <c r="P21" s="71">
        <f t="shared" ca="1" si="2"/>
        <v>9.5775743399520135</v>
      </c>
      <c r="Q21" s="66">
        <f t="shared" ca="1" si="3"/>
        <v>6.9615140266302347E-2</v>
      </c>
      <c r="R21" s="43">
        <v>70</v>
      </c>
    </row>
    <row r="22" spans="1:18">
      <c r="A22" s="120" t="str">
        <f>IF(D22=0,"", IF(D23=0,"75+", "75-79"))</f>
        <v>75-79</v>
      </c>
      <c r="B22" s="83">
        <f>IF(Méthode!M$2&lt;0,Méthode!C23*EXP(-Méthode!M$2*Méthode!G$3),Méthode!C23)</f>
        <v>140178.33683867945</v>
      </c>
      <c r="C22" s="83">
        <f>IF(Méthode!M$2&lt;0,Méthode!D23,Méthode!D23*EXP(-Méthode!M$2*Méthode!G$3))</f>
        <v>163112.35999999999</v>
      </c>
      <c r="D22" s="65">
        <f>IF(E$3="Yes",IF(Méthode!B23&lt;Méthode!J$3,Méthode!E23/Méthode!K23,Méthode!E23/VLOOKUP(Méthode!J$3,Méthode!B$9:'Méthode'!K$25,10)),Méthode!E23/Méthode!P$28)</f>
        <v>64906.506395611934</v>
      </c>
      <c r="E22" s="65">
        <f>Méthode!G$3*('Espérances de vie'!B22*'Espérances de vie'!C22)^0.5</f>
        <v>809595.04117688409</v>
      </c>
      <c r="F22" s="66">
        <f t="shared" si="11"/>
        <v>8.0171571087267635E-2</v>
      </c>
      <c r="G22" s="43">
        <v>75</v>
      </c>
      <c r="H22" s="67">
        <f t="shared" si="10"/>
        <v>0.33392885341267758</v>
      </c>
      <c r="I22" s="67">
        <f t="shared" ca="1" si="5"/>
        <v>0.2032224280732097</v>
      </c>
      <c r="J22" s="50">
        <f t="shared" ca="1" si="6"/>
        <v>0.68313723710121921</v>
      </c>
      <c r="K22" s="68">
        <f>Modèles!D40</f>
        <v>0.31783379984852717</v>
      </c>
      <c r="L22" s="50">
        <f t="shared" si="8"/>
        <v>0.38187235961094013</v>
      </c>
      <c r="M22" s="50">
        <f t="shared" ca="1" si="7"/>
        <v>0.67317216782451594</v>
      </c>
      <c r="N22" s="72">
        <f t="shared" ca="1" si="9"/>
        <v>0.20646867083190534</v>
      </c>
      <c r="O22" s="70">
        <f t="shared" ca="1" si="1"/>
        <v>1.5609433831538531</v>
      </c>
      <c r="P22" s="71">
        <f t="shared" ca="1" si="2"/>
        <v>7.5601948560257908</v>
      </c>
      <c r="Q22" s="66">
        <f t="shared" ca="1" si="3"/>
        <v>9.7441487582485234E-2</v>
      </c>
      <c r="R22" s="43">
        <v>75</v>
      </c>
    </row>
    <row r="23" spans="1:18">
      <c r="A23" s="120" t="str">
        <f>IF(D23=0,"", IF(D24=0,"80+", "80-84"))</f>
        <v>80-84</v>
      </c>
      <c r="B23" s="83">
        <f>IF(Méthode!M$2&lt;0,Méthode!C24*EXP(-Méthode!M$2*Méthode!G$3),Méthode!C24)</f>
        <v>93327.590548671913</v>
      </c>
      <c r="C23" s="83">
        <f>IF(Méthode!M$2&lt;0,Méthode!D24,Méthode!D24*EXP(-Méthode!M$2*Méthode!G$3))</f>
        <v>87698.19</v>
      </c>
      <c r="D23" s="65">
        <f>IF(E$3="Yes",IF(Méthode!B24&lt;Méthode!J$3,Méthode!E24/Méthode!K24,Méthode!E24/VLOOKUP(Méthode!J$3,Méthode!B$9:'Méthode'!K$25,10)),Méthode!E24/Méthode!P$28)</f>
        <v>48888.457502625308</v>
      </c>
      <c r="E23" s="65">
        <f>Méthode!G$3*('Espérances de vie'!B23*'Espérances de vie'!C23)^0.5</f>
        <v>484377.87117440719</v>
      </c>
      <c r="F23" s="66">
        <f t="shared" si="11"/>
        <v>0.10093041076400107</v>
      </c>
      <c r="G23" s="43">
        <v>80</v>
      </c>
      <c r="H23" s="67">
        <f>IF(D24=0,NA(),5*F23/(1+2.5*F23))</f>
        <v>0.40297178448425852</v>
      </c>
      <c r="I23" s="67">
        <f t="shared" ca="1" si="5"/>
        <v>0.13536059567898243</v>
      </c>
      <c r="J23" s="50">
        <f t="shared" ca="1" si="6"/>
        <v>0.9271851249243318</v>
      </c>
      <c r="K23" s="68">
        <f>Modèles!D41</f>
        <v>0.21728017424009663</v>
      </c>
      <c r="L23" s="50">
        <f t="shared" si="8"/>
        <v>0.64079358208261483</v>
      </c>
      <c r="M23" s="50">
        <f t="shared" ca="1" si="7"/>
        <v>0.97030751148133287</v>
      </c>
      <c r="N23" s="72">
        <f t="shared" ca="1" si="9"/>
        <v>0.12558030535674666</v>
      </c>
      <c r="O23" s="70">
        <f ca="1">O24+2.5*(N24+N23)</f>
        <v>0.73082094268222297</v>
      </c>
      <c r="P23" s="71">
        <f t="shared" ca="1" si="2"/>
        <v>5.8195506103135974</v>
      </c>
      <c r="Q23" s="66">
        <f t="shared" ca="1" si="3"/>
        <v>0.14204288859754108</v>
      </c>
      <c r="R23" s="43">
        <v>80</v>
      </c>
    </row>
    <row r="24" spans="1:18">
      <c r="A24" s="120" t="str">
        <f>IF(D24=0,"", "85+")</f>
        <v>85+</v>
      </c>
      <c r="B24" s="83">
        <f>IF(Méthode!M$2&lt;0,Méthode!C25*EXP(-Méthode!M$2*Méthode!G$3),Méthode!C25)</f>
        <v>47169.179338678943</v>
      </c>
      <c r="C24" s="83">
        <f>IF(Méthode!M$2&lt;0,Méthode!D25,Méthode!D25*EXP(-Méthode!M$2*Méthode!G$3))</f>
        <v>70299.38</v>
      </c>
      <c r="D24" s="65">
        <f>IF(E$3="Yes",Méthode!E25/VLOOKUP(Méthode!J$3,Méthode!B$9:'Méthode'!K$25,10),Méthode!E25/Méthode!P$28)</f>
        <v>55801.21789216093</v>
      </c>
      <c r="E24" s="65">
        <f>Méthode!G$3*('Espérances de vie'!B24*'Espérances de vie'!C24)^0.5</f>
        <v>308310.88638805394</v>
      </c>
      <c r="F24" s="66">
        <f>IF(E24&gt;0,D24/E24,NA())</f>
        <v>0.18099009913625627</v>
      </c>
      <c r="G24" s="43">
        <v>85</v>
      </c>
      <c r="H24" s="67" t="e">
        <f>NA()</f>
        <v>#N/A</v>
      </c>
      <c r="I24" s="67">
        <f t="shared" ca="1" si="5"/>
        <v>8.0814094889370663E-2</v>
      </c>
      <c r="J24" s="50">
        <f t="shared" ca="1" si="6"/>
        <v>1.2156685002686314</v>
      </c>
      <c r="K24" s="68">
        <f>Modèles!D42</f>
        <v>0.1200582863705522</v>
      </c>
      <c r="L24" s="50">
        <f t="shared" si="8"/>
        <v>0.99593916307683372</v>
      </c>
      <c r="M24" s="50">
        <f t="shared" ca="1" si="7"/>
        <v>1.3778689436789635</v>
      </c>
      <c r="N24" s="72">
        <f t="shared" ca="1" si="9"/>
        <v>5.9763412638215475E-2</v>
      </c>
      <c r="O24" s="70">
        <f t="shared" ca="1" si="1"/>
        <v>0.26746164769481767</v>
      </c>
      <c r="P24" s="71">
        <f t="shared" ca="1" si="2"/>
        <v>4.4753409467080933</v>
      </c>
      <c r="Q24" s="66">
        <f t="shared" ca="1" si="3"/>
        <v>0.201827822201125</v>
      </c>
      <c r="R24" s="43">
        <v>85</v>
      </c>
    </row>
    <row r="25" spans="1:18">
      <c r="A25" s="64"/>
      <c r="B25" s="64"/>
      <c r="C25" s="65"/>
      <c r="D25" s="65"/>
      <c r="E25" s="43"/>
      <c r="F25" s="43"/>
      <c r="G25" s="43"/>
      <c r="H25" s="67"/>
      <c r="I25" s="67" t="e">
        <f t="shared" ca="1" si="5"/>
        <v>#N/A</v>
      </c>
      <c r="J25" s="50" t="e">
        <f t="shared" ca="1" si="6"/>
        <v>#N/A</v>
      </c>
      <c r="K25" s="68">
        <f>K24*EXP((LN(K24/K23))^2/LN(K23/K22))</f>
        <v>4.7596485269324355E-2</v>
      </c>
      <c r="L25" s="50">
        <f t="shared" si="8"/>
        <v>1.4981149426839451</v>
      </c>
      <c r="M25" s="50">
        <f t="shared" ca="1" si="7"/>
        <v>1.9541607262732337</v>
      </c>
      <c r="N25" s="72">
        <f t="shared" ca="1" si="9"/>
        <v>1.9679126152546012E-2</v>
      </c>
      <c r="O25" s="70">
        <f ca="1">O26+2.5*(N26+N25)</f>
        <v>6.8855300717913959E-2</v>
      </c>
      <c r="P25" s="71">
        <f ca="1">O25/N25</f>
        <v>3.4989003162117398</v>
      </c>
      <c r="Q25" s="66">
        <f ca="1">1/P25</f>
        <v>0.28580408403366581</v>
      </c>
      <c r="R25" s="43">
        <v>90</v>
      </c>
    </row>
    <row r="26" spans="1:18">
      <c r="A26" s="64" t="s">
        <v>20</v>
      </c>
      <c r="B26" s="64"/>
      <c r="C26" s="65">
        <f>SUM(C7:C24)</f>
        <v>20842935.330000002</v>
      </c>
      <c r="D26" s="65">
        <f ca="1">SUM(D7:D24)</f>
        <v>1576746.1426192399</v>
      </c>
      <c r="E26" s="43"/>
      <c r="F26" s="43"/>
      <c r="G26" s="43"/>
      <c r="H26" s="43"/>
      <c r="I26" s="43"/>
      <c r="J26" s="43"/>
      <c r="K26" s="68">
        <f t="shared" ref="K26:K27" si="12">K25*EXP((LN(K25/K24))^2/LN(K24/K23))</f>
        <v>1.1242643045383931E-2</v>
      </c>
      <c r="L26" s="50">
        <f t="shared" si="8"/>
        <v>2.2383674982534045</v>
      </c>
      <c r="M26" s="50">
        <f t="shared" ca="1" si="7"/>
        <v>2.8036669791491673</v>
      </c>
      <c r="N26" s="72">
        <f t="shared" ca="1" si="9"/>
        <v>3.6574171400151553E-3</v>
      </c>
      <c r="O26" s="70">
        <f ca="1">O27+2.5*(N27+N26)</f>
        <v>1.0513942486511043E-2</v>
      </c>
      <c r="P26" s="43"/>
      <c r="Q26" s="43"/>
      <c r="R26" s="43"/>
    </row>
    <row r="27" spans="1:18">
      <c r="A27" s="43"/>
      <c r="B27" s="43"/>
      <c r="C27" s="43"/>
      <c r="D27" s="43"/>
      <c r="E27" s="43"/>
      <c r="F27" s="43"/>
      <c r="G27" s="43"/>
      <c r="H27" s="43"/>
      <c r="I27" s="43"/>
      <c r="J27" s="43"/>
      <c r="K27" s="68">
        <f t="shared" si="12"/>
        <v>1.184149936079993E-3</v>
      </c>
      <c r="L27" s="50">
        <f t="shared" si="8"/>
        <v>3.3687726318698017</v>
      </c>
      <c r="M27" s="50">
        <f t="shared" ca="1" si="7"/>
        <v>4.100908335582524</v>
      </c>
      <c r="N27" s="72">
        <f t="shared" ca="1" si="9"/>
        <v>2.7407992729463104E-4</v>
      </c>
      <c r="O27" s="70">
        <f ca="1">O28+2.5*(N28+N27)</f>
        <v>6.8519981823657761E-4</v>
      </c>
      <c r="P27" s="43"/>
      <c r="Q27" s="43"/>
      <c r="R27" s="43"/>
    </row>
    <row r="28" spans="1:18">
      <c r="A28" s="43"/>
      <c r="B28" s="43"/>
      <c r="C28" s="43"/>
      <c r="E28" s="73"/>
      <c r="F28" s="43"/>
      <c r="G28" s="43"/>
      <c r="H28" s="43"/>
      <c r="I28" s="43"/>
      <c r="J28" s="43"/>
      <c r="K28" s="43"/>
      <c r="L28" s="43"/>
      <c r="M28" s="43"/>
      <c r="N28" s="43"/>
      <c r="O28" s="43"/>
      <c r="P28" s="43"/>
      <c r="Q28" s="43"/>
      <c r="R28" s="43"/>
    </row>
    <row r="29" spans="1:18" ht="15.75">
      <c r="A29" s="43" t="s">
        <v>68</v>
      </c>
      <c r="B29" s="67">
        <f>SUM(Méthode!E10:'Méthode'!E15)/SUM(Méthode!E16:'Méthode'!E19)</f>
        <v>1.181211264474725</v>
      </c>
      <c r="C29" s="47">
        <f>HLOOKUP(B$29,B$38:AA$44,1)</f>
        <v>1.171</v>
      </c>
      <c r="D29" s="47">
        <f>HLOOKUP(HLOOKUP(B$29,B$38:AA$44,7)+1,B$37:AA$44,2)</f>
        <v>1.2330000000000001</v>
      </c>
      <c r="E29" s="47">
        <f>(B29-C29)/(D29-C29)</f>
        <v>0.16469781410846726</v>
      </c>
    </row>
    <row r="30" spans="1:18">
      <c r="A30" s="74" t="s">
        <v>30</v>
      </c>
      <c r="B30" s="75" t="s">
        <v>31</v>
      </c>
    </row>
    <row r="31" spans="1:18">
      <c r="A31" s="76">
        <v>65</v>
      </c>
      <c r="B31" s="77">
        <f>C31+(D31-C31)*E$29</f>
        <v>9.4390618087798668</v>
      </c>
      <c r="C31" s="84">
        <f>HLOOKUP(B$29,B$38:AA$44,2)</f>
        <v>9.5</v>
      </c>
      <c r="D31" s="84">
        <f>HLOOKUP(HLOOKUP(B$29,B$38:AA$44,7)+1,B$37:AA$44,3)</f>
        <v>9.1300000000000008</v>
      </c>
    </row>
    <row r="32" spans="1:18">
      <c r="A32" s="76">
        <v>70</v>
      </c>
      <c r="B32" s="77">
        <f>C32+(D32-C32)*E$29</f>
        <v>7.2915670295367621</v>
      </c>
      <c r="C32" s="84">
        <f>HLOOKUP(B$29,B$38:AA$44,3)</f>
        <v>7.3390000000000004</v>
      </c>
      <c r="D32" s="84">
        <f>HLOOKUP(HLOOKUP(B$29,B$38:AA$44,7)+1,B$37:AA$44,4)</f>
        <v>7.0510000000000002</v>
      </c>
    </row>
    <row r="33" spans="1:27">
      <c r="A33" s="76">
        <v>75</v>
      </c>
      <c r="B33" s="77">
        <f>C33+(D33-C33)*E$29</f>
        <v>5.5054134590372223</v>
      </c>
      <c r="C33" s="84">
        <f>HLOOKUP(B$29,B$38:AA$44,4)</f>
        <v>5.54</v>
      </c>
      <c r="D33" s="84">
        <f>HLOOKUP(HLOOKUP(B$29,B$38:AA$44,7)+1,B$37:AA$44,5)</f>
        <v>5.33</v>
      </c>
    </row>
    <row r="34" spans="1:27">
      <c r="A34" s="76">
        <v>80</v>
      </c>
      <c r="B34" s="77">
        <f>C34+(D34-C34)*E$29</f>
        <v>4.01529532788373</v>
      </c>
      <c r="C34" s="84">
        <f>HLOOKUP(B$29,B$38:AA$44,5)</f>
        <v>4.04</v>
      </c>
      <c r="D34" s="84">
        <f>HLOOKUP(HLOOKUP(B$29,B$38:AA$44,7)+1,B$37:AA$44,6)</f>
        <v>3.89</v>
      </c>
    </row>
    <row r="35" spans="1:27">
      <c r="A35" s="76">
        <v>85</v>
      </c>
      <c r="B35" s="77">
        <f>C35+(D35-C35)*E$29</f>
        <v>2.8518832404480685</v>
      </c>
      <c r="C35" s="84">
        <f>HLOOKUP(B$29,B$38:AA$44,6)</f>
        <v>2.87</v>
      </c>
      <c r="D35" s="84">
        <f>HLOOKUP(HLOOKUP(B$29,B$38:AA$44,7)+1,B$37:AA$44,7)</f>
        <v>2.76</v>
      </c>
      <c r="E35" s="63"/>
      <c r="G35" s="63"/>
      <c r="H35" s="63"/>
      <c r="I35" s="63"/>
      <c r="J35" s="63"/>
      <c r="K35" s="63"/>
      <c r="L35" s="63"/>
      <c r="M35" s="63"/>
      <c r="N35" s="63"/>
      <c r="O35" s="63"/>
      <c r="P35" s="63"/>
      <c r="Q35" s="63"/>
      <c r="R35" s="63"/>
      <c r="S35" s="63"/>
      <c r="T35" s="63"/>
      <c r="U35" s="63"/>
      <c r="V35" s="63"/>
      <c r="W35" s="63"/>
      <c r="X35" s="63"/>
      <c r="Y35" s="63"/>
      <c r="Z35" s="63"/>
      <c r="AA35" s="63"/>
    </row>
    <row r="36" spans="1:27">
      <c r="B36" s="78" t="s">
        <v>23</v>
      </c>
      <c r="C36" s="63">
        <v>25</v>
      </c>
      <c r="D36" s="63">
        <v>24</v>
      </c>
      <c r="E36" s="63">
        <v>23</v>
      </c>
      <c r="F36" s="63">
        <v>22</v>
      </c>
      <c r="G36" s="63">
        <v>21</v>
      </c>
      <c r="H36" s="63">
        <v>20</v>
      </c>
      <c r="I36" s="63">
        <v>19</v>
      </c>
      <c r="J36" s="63">
        <v>18</v>
      </c>
      <c r="K36" s="63">
        <v>17</v>
      </c>
      <c r="L36" s="63">
        <v>16</v>
      </c>
      <c r="M36" s="63">
        <v>15</v>
      </c>
      <c r="N36" s="63">
        <v>14</v>
      </c>
      <c r="O36" s="63">
        <v>13</v>
      </c>
      <c r="P36" s="63">
        <v>12</v>
      </c>
      <c r="Q36" s="63">
        <v>11</v>
      </c>
      <c r="R36" s="63">
        <v>10</v>
      </c>
      <c r="S36" s="63">
        <v>9</v>
      </c>
      <c r="T36" s="63">
        <v>8</v>
      </c>
      <c r="U36" s="63">
        <v>7</v>
      </c>
      <c r="V36" s="63">
        <v>6</v>
      </c>
      <c r="W36" s="63">
        <v>5</v>
      </c>
      <c r="X36" s="63">
        <v>4</v>
      </c>
      <c r="Y36" s="63">
        <v>3</v>
      </c>
      <c r="Z36" s="63">
        <v>2</v>
      </c>
      <c r="AA36" s="63">
        <v>1</v>
      </c>
    </row>
    <row r="37" spans="1:27">
      <c r="B37" s="78"/>
      <c r="C37" s="63">
        <v>1</v>
      </c>
      <c r="D37" s="63">
        <v>2</v>
      </c>
      <c r="E37" s="63">
        <v>3</v>
      </c>
      <c r="F37" s="63">
        <v>4</v>
      </c>
      <c r="G37" s="63">
        <v>5</v>
      </c>
      <c r="H37" s="63">
        <v>6</v>
      </c>
      <c r="I37" s="63">
        <v>7</v>
      </c>
      <c r="J37" s="63">
        <v>8</v>
      </c>
      <c r="K37" s="63">
        <v>9</v>
      </c>
      <c r="L37" s="63">
        <v>10</v>
      </c>
      <c r="M37" s="63">
        <v>11</v>
      </c>
      <c r="N37" s="63">
        <v>12</v>
      </c>
      <c r="O37" s="63">
        <v>13</v>
      </c>
      <c r="P37" s="63">
        <v>14</v>
      </c>
      <c r="Q37" s="63">
        <v>15</v>
      </c>
      <c r="R37" s="63">
        <v>16</v>
      </c>
      <c r="S37" s="63">
        <v>17</v>
      </c>
      <c r="T37" s="63">
        <v>18</v>
      </c>
      <c r="U37" s="63">
        <v>19</v>
      </c>
      <c r="V37" s="63">
        <v>20</v>
      </c>
      <c r="W37" s="63">
        <v>21</v>
      </c>
      <c r="X37" s="63">
        <v>22</v>
      </c>
      <c r="Y37" s="63">
        <v>23</v>
      </c>
      <c r="Z37" s="63">
        <v>24</v>
      </c>
      <c r="AA37" s="63">
        <v>25</v>
      </c>
    </row>
    <row r="38" spans="1:27">
      <c r="B38" s="79" t="s">
        <v>24</v>
      </c>
      <c r="C38" s="80">
        <v>0.11700000000000001</v>
      </c>
      <c r="D38" s="80">
        <v>0.17499999999999999</v>
      </c>
      <c r="E38" s="80">
        <v>0.23499999999999999</v>
      </c>
      <c r="F38" s="80">
        <v>0.29799999999999999</v>
      </c>
      <c r="G38" s="80">
        <v>0.36499999999999999</v>
      </c>
      <c r="H38" s="80">
        <v>0.438</v>
      </c>
      <c r="I38" s="80">
        <v>0.501</v>
      </c>
      <c r="J38" s="80">
        <v>0.56000000000000005</v>
      </c>
      <c r="K38" s="80">
        <v>0.61699999999999999</v>
      </c>
      <c r="L38" s="80">
        <v>0.67300000000000004</v>
      </c>
      <c r="M38" s="80">
        <v>0.72899999999999998</v>
      </c>
      <c r="N38" s="80">
        <v>0.78700000000000003</v>
      </c>
      <c r="O38" s="80">
        <v>0.82699999999999996</v>
      </c>
      <c r="P38" s="80">
        <v>0.872</v>
      </c>
      <c r="Q38" s="80">
        <v>0.91800000000000004</v>
      </c>
      <c r="R38" s="80">
        <v>0.96399999999999997</v>
      </c>
      <c r="S38" s="80">
        <v>1.012</v>
      </c>
      <c r="T38" s="80">
        <v>1.0620000000000001</v>
      </c>
      <c r="U38" s="80">
        <v>1.115</v>
      </c>
      <c r="V38" s="80">
        <v>1.171</v>
      </c>
      <c r="W38" s="80">
        <v>1.2330000000000001</v>
      </c>
      <c r="X38" s="80">
        <v>1.3</v>
      </c>
      <c r="Y38" s="80">
        <v>1.3759999999999999</v>
      </c>
      <c r="Z38" s="81">
        <v>1.462</v>
      </c>
      <c r="AA38" s="81">
        <v>1.5609999999999999</v>
      </c>
    </row>
    <row r="39" spans="1:27">
      <c r="B39" s="47" t="s">
        <v>25</v>
      </c>
      <c r="C39" s="82">
        <f>IF(Introduction!$D$10="Males",C48,C56)</f>
        <v>17.5</v>
      </c>
      <c r="D39" s="82">
        <f>IF(Introduction!$D$10="Males",D48,D56)</f>
        <v>16.38</v>
      </c>
      <c r="E39" s="82">
        <f>IF(Introduction!$D$10="Males",E48,E56)</f>
        <v>15.52</v>
      </c>
      <c r="F39" s="82">
        <f>IF(Introduction!$D$10="Males",F48,F56)</f>
        <v>14.85</v>
      </c>
      <c r="G39" s="82">
        <f>IF(Introduction!$D$10="Males",G48,G56)</f>
        <v>14.3</v>
      </c>
      <c r="H39" s="82">
        <f>IF(Introduction!$D$10="Males",H48,H56)</f>
        <v>13.93</v>
      </c>
      <c r="I39" s="82">
        <f>IF(Introduction!$D$10="Males",I48,I56)</f>
        <v>13.6</v>
      </c>
      <c r="J39" s="82">
        <f>IF(Introduction!$D$10="Males",J48,J56)</f>
        <v>13.28</v>
      </c>
      <c r="K39" s="82">
        <f>IF(Introduction!$D$10="Males",K48,K56)</f>
        <v>12.97</v>
      </c>
      <c r="L39" s="82">
        <f>IF(Introduction!$D$10="Males",L48,L56)</f>
        <v>12.67</v>
      </c>
      <c r="M39" s="82">
        <f>IF(Introduction!$D$10="Males",M48,M56)</f>
        <v>12.4</v>
      </c>
      <c r="N39" s="82">
        <f>IF(Introduction!$D$10="Males",N48,N56)</f>
        <v>12.13</v>
      </c>
      <c r="O39" s="82">
        <f>IF(Introduction!$D$10="Males",O48,O56)</f>
        <v>11.87</v>
      </c>
      <c r="P39" s="82">
        <f>IF(Introduction!$D$10="Males",P48,P56)</f>
        <v>11.56</v>
      </c>
      <c r="Q39" s="82">
        <f>IF(Introduction!$D$10="Males",Q48,Q56)</f>
        <v>11.23</v>
      </c>
      <c r="R39" s="82">
        <f>IF(Introduction!$D$10="Males",R48,R56)</f>
        <v>10.9</v>
      </c>
      <c r="S39" s="82">
        <f>IF(Introduction!$D$10="Males",S48,S56)</f>
        <v>10.56</v>
      </c>
      <c r="T39" s="82">
        <f>IF(Introduction!$D$10="Males",T48,T56)</f>
        <v>10.220000000000001</v>
      </c>
      <c r="U39" s="82">
        <f>IF(Introduction!$D$10="Males",U48,U56)</f>
        <v>9.86</v>
      </c>
      <c r="V39" s="82">
        <f>IF(Introduction!$D$10="Males",V48,V56)</f>
        <v>9.5</v>
      </c>
      <c r="W39" s="82">
        <f>IF(Introduction!$D$10="Males",W48,W56)</f>
        <v>9.1300000000000008</v>
      </c>
      <c r="X39" s="82">
        <f>IF(Introduction!$D$10="Males",X48,X56)</f>
        <v>8.76</v>
      </c>
      <c r="Y39" s="82">
        <f>IF(Introduction!$D$10="Males",Y48,Y56)</f>
        <v>8.3699999999999992</v>
      </c>
      <c r="Z39" s="82">
        <f>IF(Introduction!$D$10="Males",Z48,Z56)</f>
        <v>7.9640000000000004</v>
      </c>
      <c r="AA39" s="82">
        <f>IF(Introduction!$D$10="Males",AA48,AA56)</f>
        <v>7.548</v>
      </c>
    </row>
    <row r="40" spans="1:27">
      <c r="B40" s="47" t="s">
        <v>26</v>
      </c>
      <c r="C40" s="82">
        <f>IF(Introduction!$D$10="Males",C49,C57)</f>
        <v>13.58</v>
      </c>
      <c r="D40" s="82">
        <f>IF(Introduction!$D$10="Males",D49,D57)</f>
        <v>12.66</v>
      </c>
      <c r="E40" s="82">
        <f>IF(Introduction!$D$10="Males",E49,E57)</f>
        <v>11.97</v>
      </c>
      <c r="F40" s="82">
        <f>IF(Introduction!$D$10="Males",F49,F57)</f>
        <v>11.44</v>
      </c>
      <c r="G40" s="82">
        <f>IF(Introduction!$D$10="Males",G49,G57)</f>
        <v>11.01</v>
      </c>
      <c r="H40" s="82">
        <f>IF(Introduction!$D$10="Males",H49,H57)</f>
        <v>10.73</v>
      </c>
      <c r="I40" s="82">
        <f>IF(Introduction!$D$10="Males",I49,I57)</f>
        <v>10.48</v>
      </c>
      <c r="J40" s="82">
        <f>IF(Introduction!$D$10="Males",J49,J57)</f>
        <v>10.23</v>
      </c>
      <c r="K40" s="82">
        <f>IF(Introduction!$D$10="Males",K49,K57)</f>
        <v>10</v>
      </c>
      <c r="L40" s="82">
        <f>IF(Introduction!$D$10="Males",L49,L57)</f>
        <v>9.7899999999999991</v>
      </c>
      <c r="M40" s="82">
        <f>IF(Introduction!$D$10="Males",M49,M57)</f>
        <v>9.56</v>
      </c>
      <c r="N40" s="82">
        <f>IF(Introduction!$D$10="Males",N49,N57)</f>
        <v>9.3699999999999992</v>
      </c>
      <c r="O40" s="82">
        <f>IF(Introduction!$D$10="Males",O49,O57)</f>
        <v>9.17</v>
      </c>
      <c r="P40" s="82">
        <f>IF(Introduction!$D$10="Males",P49,P57)</f>
        <v>8.92</v>
      </c>
      <c r="Q40" s="82">
        <f>IF(Introduction!$D$10="Males",Q49,Q57)</f>
        <v>8.67</v>
      </c>
      <c r="R40" s="82">
        <f>IF(Introduction!$D$10="Males",R49,R57)</f>
        <v>8.42</v>
      </c>
      <c r="S40" s="82">
        <f>IF(Introduction!$D$10="Males",S49,S57)</f>
        <v>8.1590000000000007</v>
      </c>
      <c r="T40" s="82">
        <f>IF(Introduction!$D$10="Males",T49,T57)</f>
        <v>7.8929999999999998</v>
      </c>
      <c r="U40" s="82">
        <f>IF(Introduction!$D$10="Males",U49,U57)</f>
        <v>7.62</v>
      </c>
      <c r="V40" s="82">
        <f>IF(Introduction!$D$10="Males",V49,V57)</f>
        <v>7.3390000000000004</v>
      </c>
      <c r="W40" s="82">
        <f>IF(Introduction!$D$10="Males",W49,W57)</f>
        <v>7.0510000000000002</v>
      </c>
      <c r="X40" s="82">
        <f>IF(Introduction!$D$10="Males",X49,X57)</f>
        <v>6.7539999999999996</v>
      </c>
      <c r="Y40" s="82">
        <f>IF(Introduction!$D$10="Males",Y49,Y57)</f>
        <v>6.4480000000000004</v>
      </c>
      <c r="Z40" s="82">
        <f>IF(Introduction!$D$10="Males",Z49,Z57)</f>
        <v>6.13</v>
      </c>
      <c r="AA40" s="82">
        <f>IF(Introduction!$D$10="Males",AA49,AA57)</f>
        <v>5.8</v>
      </c>
    </row>
    <row r="41" spans="1:27">
      <c r="B41" s="47" t="s">
        <v>27</v>
      </c>
      <c r="C41" s="82">
        <f>IF(Introduction!$D$10="Males",C50,C58)</f>
        <v>10.17</v>
      </c>
      <c r="D41" s="82">
        <f>IF(Introduction!$D$10="Males",D50,D58)</f>
        <v>9.4600000000000009</v>
      </c>
      <c r="E41" s="82">
        <f>IF(Introduction!$D$10="Males",E50,E58)</f>
        <v>8.94</v>
      </c>
      <c r="F41" s="82">
        <f>IF(Introduction!$D$10="Males",F50,F58)</f>
        <v>8.5399999999999991</v>
      </c>
      <c r="G41" s="82">
        <f>IF(Introduction!$D$10="Males",G50,G58)</f>
        <v>8.2200000000000006</v>
      </c>
      <c r="H41" s="82">
        <f>IF(Introduction!$D$10="Males",H50,H58)</f>
        <v>8.01</v>
      </c>
      <c r="I41" s="82">
        <f>IF(Introduction!$D$10="Males",I50,I58)</f>
        <v>7.83</v>
      </c>
      <c r="J41" s="82">
        <f>IF(Introduction!$D$10="Males",J50,J58)</f>
        <v>7.65</v>
      </c>
      <c r="K41" s="82">
        <f>IF(Introduction!$D$10="Males",K50,K58)</f>
        <v>7.48</v>
      </c>
      <c r="L41" s="82">
        <f>IF(Introduction!$D$10="Males",L50,L58)</f>
        <v>7.32</v>
      </c>
      <c r="M41" s="82">
        <f>IF(Introduction!$D$10="Males",M50,M58)</f>
        <v>7.16</v>
      </c>
      <c r="N41" s="82">
        <f>IF(Introduction!$D$10="Males",N50,N58)</f>
        <v>7.02</v>
      </c>
      <c r="O41" s="82">
        <f>IF(Introduction!$D$10="Males",O50,O58)</f>
        <v>6.88</v>
      </c>
      <c r="P41" s="82">
        <f>IF(Introduction!$D$10="Males",P50,P58)</f>
        <v>6.7</v>
      </c>
      <c r="Q41" s="82">
        <f>IF(Introduction!$D$10="Males",Q50,Q58)</f>
        <v>6.52</v>
      </c>
      <c r="R41" s="82">
        <f>IF(Introduction!$D$10="Males",R50,R58)</f>
        <v>6.33</v>
      </c>
      <c r="S41" s="82">
        <f>IF(Introduction!$D$10="Males",S50,S58)</f>
        <v>6.14</v>
      </c>
      <c r="T41" s="82">
        <f>IF(Introduction!$D$10="Males",T50,T58)</f>
        <v>5.95</v>
      </c>
      <c r="U41" s="82">
        <f>IF(Introduction!$D$10="Males",U50,U58)</f>
        <v>5.75</v>
      </c>
      <c r="V41" s="82">
        <f>IF(Introduction!$D$10="Males",V50,V58)</f>
        <v>5.54</v>
      </c>
      <c r="W41" s="82">
        <f>IF(Introduction!$D$10="Males",W50,W58)</f>
        <v>5.33</v>
      </c>
      <c r="X41" s="82">
        <f>IF(Introduction!$D$10="Males",X50,X58)</f>
        <v>5.1100000000000003</v>
      </c>
      <c r="Y41" s="82">
        <f>IF(Introduction!$D$10="Males",Y50,Y58)</f>
        <v>4.88</v>
      </c>
      <c r="Z41" s="82">
        <f>IF(Introduction!$D$10="Males",Z50,Z58)</f>
        <v>4.6399999999999997</v>
      </c>
      <c r="AA41" s="82">
        <f>IF(Introduction!$D$10="Males",AA50,AA58)</f>
        <v>4.391</v>
      </c>
    </row>
    <row r="42" spans="1:27">
      <c r="B42" s="47" t="s">
        <v>28</v>
      </c>
      <c r="C42" s="82">
        <f>IF(Introduction!$D$10="Males",C51,C59)</f>
        <v>7.45</v>
      </c>
      <c r="D42" s="82">
        <f>IF(Introduction!$D$10="Males",D51,D59)</f>
        <v>6.91</v>
      </c>
      <c r="E42" s="82">
        <f>IF(Introduction!$D$10="Males",E51,E59)</f>
        <v>6.52</v>
      </c>
      <c r="F42" s="82">
        <f>IF(Introduction!$D$10="Males",F51,F59)</f>
        <v>6.22</v>
      </c>
      <c r="G42" s="82">
        <f>IF(Introduction!$D$10="Males",G51,G59)</f>
        <v>5.99</v>
      </c>
      <c r="H42" s="82">
        <f>IF(Introduction!$D$10="Males",H51,H59)</f>
        <v>5.84</v>
      </c>
      <c r="I42" s="82">
        <f>IF(Introduction!$D$10="Males",I51,I59)</f>
        <v>5.7</v>
      </c>
      <c r="J42" s="82">
        <f>IF(Introduction!$D$10="Males",J51,J59)</f>
        <v>5.57</v>
      </c>
      <c r="K42" s="82">
        <f>IF(Introduction!$D$10="Males",K51,K59)</f>
        <v>5.44</v>
      </c>
      <c r="L42" s="82">
        <f>IF(Introduction!$D$10="Males",L51,L59)</f>
        <v>5.33</v>
      </c>
      <c r="M42" s="82">
        <f>IF(Introduction!$D$10="Males",M51,M59)</f>
        <v>5.21</v>
      </c>
      <c r="N42" s="82">
        <f>IF(Introduction!$D$10="Males",N51,N59)</f>
        <v>5.1100000000000003</v>
      </c>
      <c r="O42" s="82">
        <f>IF(Introduction!$D$10="Males",O51,O59)</f>
        <v>5</v>
      </c>
      <c r="P42" s="82">
        <f>IF(Introduction!$D$10="Males",P51,P59)</f>
        <v>4.88</v>
      </c>
      <c r="Q42" s="82">
        <f>IF(Introduction!$D$10="Males",Q51,Q59)</f>
        <v>4.74</v>
      </c>
      <c r="R42" s="82">
        <f>IF(Introduction!$D$10="Males",R51,R59)</f>
        <v>4.6100000000000003</v>
      </c>
      <c r="S42" s="82">
        <f>IF(Introduction!$D$10="Males",S51,S59)</f>
        <v>4.47</v>
      </c>
      <c r="T42" s="82">
        <f>IF(Introduction!$D$10="Males",T51,T59)</f>
        <v>4.33</v>
      </c>
      <c r="U42" s="82">
        <f>IF(Introduction!$D$10="Males",U51,U59)</f>
        <v>4.1900000000000004</v>
      </c>
      <c r="V42" s="82">
        <f>IF(Introduction!$D$10="Males",V51,V59)</f>
        <v>4.04</v>
      </c>
      <c r="W42" s="82">
        <f>IF(Introduction!$D$10="Males",W51,W59)</f>
        <v>3.89</v>
      </c>
      <c r="X42" s="82">
        <f>IF(Introduction!$D$10="Males",X51,X59)</f>
        <v>3.73</v>
      </c>
      <c r="Y42" s="82">
        <f>IF(Introduction!$D$10="Males",Y51,Y59)</f>
        <v>3.57</v>
      </c>
      <c r="Z42" s="82">
        <f>IF(Introduction!$D$10="Males",Z51,Z59)</f>
        <v>3.3980000000000001</v>
      </c>
      <c r="AA42" s="82">
        <f>IF(Introduction!$D$10="Males",AA51,AA59)</f>
        <v>3.222</v>
      </c>
    </row>
    <row r="43" spans="1:27">
      <c r="B43" s="47" t="s">
        <v>29</v>
      </c>
      <c r="C43" s="82">
        <f>IF(Introduction!$D$10="Males",C52,C60)</f>
        <v>5.24</v>
      </c>
      <c r="D43" s="82">
        <f>IF(Introduction!$D$10="Males",D52,D60)</f>
        <v>4.8600000000000003</v>
      </c>
      <c r="E43" s="82">
        <f>IF(Introduction!$D$10="Males",E52,E60)</f>
        <v>4.59</v>
      </c>
      <c r="F43" s="82">
        <f>IF(Introduction!$D$10="Males",F52,F60)</f>
        <v>4.38</v>
      </c>
      <c r="G43" s="82">
        <f>IF(Introduction!$D$10="Males",G52,G60)</f>
        <v>4.21</v>
      </c>
      <c r="H43" s="82">
        <f>IF(Introduction!$D$10="Males",H52,H60)</f>
        <v>4.1100000000000003</v>
      </c>
      <c r="I43" s="82">
        <f>IF(Introduction!$D$10="Males",I52,I60)</f>
        <v>4.01</v>
      </c>
      <c r="J43" s="82">
        <f>IF(Introduction!$D$10="Males",J52,J60)</f>
        <v>3.92</v>
      </c>
      <c r="K43" s="82">
        <f>IF(Introduction!$D$10="Males",K52,K60)</f>
        <v>3.92</v>
      </c>
      <c r="L43" s="82">
        <f>IF(Introduction!$D$10="Males",L52,L60)</f>
        <v>3.75</v>
      </c>
      <c r="M43" s="82">
        <f>IF(Introduction!$D$10="Males",M52,M60)</f>
        <v>3.67</v>
      </c>
      <c r="N43" s="82">
        <f>IF(Introduction!$D$10="Males",N52,N60)</f>
        <v>3.6</v>
      </c>
      <c r="O43" s="82">
        <f>IF(Introduction!$D$10="Males",O52,O60)</f>
        <v>3.53</v>
      </c>
      <c r="P43" s="82">
        <f>IF(Introduction!$D$10="Males",P52,P60)</f>
        <v>3.44</v>
      </c>
      <c r="Q43" s="82">
        <f>IF(Introduction!$D$10="Males",Q52,Q60)</f>
        <v>3.35</v>
      </c>
      <c r="R43" s="82">
        <f>IF(Introduction!$D$10="Males",R52,R60)</f>
        <v>3.26</v>
      </c>
      <c r="S43" s="82">
        <f>IF(Introduction!$D$10="Males",S52,S60)</f>
        <v>3.16</v>
      </c>
      <c r="T43" s="82">
        <f>IF(Introduction!$D$10="Males",T52,T60)</f>
        <v>3.07</v>
      </c>
      <c r="U43" s="82">
        <f>IF(Introduction!$D$10="Males",U52,U60)</f>
        <v>2.97</v>
      </c>
      <c r="V43" s="82">
        <f>IF(Introduction!$D$10="Males",V52,V60)</f>
        <v>2.87</v>
      </c>
      <c r="W43" s="82">
        <f>IF(Introduction!$D$10="Males",W52,W60)</f>
        <v>2.76</v>
      </c>
      <c r="X43" s="82">
        <f>IF(Introduction!$D$10="Males",X52,X60)</f>
        <v>2.65</v>
      </c>
      <c r="Y43" s="82">
        <f>IF(Introduction!$D$10="Males",Y52,Y60)</f>
        <v>2.54</v>
      </c>
      <c r="Z43" s="82">
        <f>IF(Introduction!$D$10="Males",Z52,Z60)</f>
        <v>2.4289999999999998</v>
      </c>
      <c r="AA43" s="82">
        <f>IF(Introduction!$D$10="Males",AA52,AA60)</f>
        <v>2.3090000000000002</v>
      </c>
    </row>
    <row r="44" spans="1:27">
      <c r="C44" s="47">
        <v>1</v>
      </c>
      <c r="D44" s="47">
        <v>2</v>
      </c>
      <c r="E44" s="47">
        <v>3</v>
      </c>
      <c r="F44" s="47">
        <v>4</v>
      </c>
      <c r="G44" s="47">
        <v>5</v>
      </c>
      <c r="H44" s="47">
        <v>6</v>
      </c>
      <c r="I44" s="47">
        <v>7</v>
      </c>
      <c r="J44" s="47">
        <v>8</v>
      </c>
      <c r="K44" s="47">
        <v>9</v>
      </c>
      <c r="L44" s="47">
        <v>10</v>
      </c>
      <c r="M44" s="47">
        <v>11</v>
      </c>
      <c r="N44" s="47">
        <v>12</v>
      </c>
      <c r="O44" s="47">
        <v>13</v>
      </c>
      <c r="P44" s="47">
        <v>14</v>
      </c>
      <c r="Q44" s="47">
        <v>15</v>
      </c>
      <c r="R44" s="47">
        <v>16</v>
      </c>
      <c r="S44" s="47">
        <v>17</v>
      </c>
      <c r="T44" s="47">
        <v>18</v>
      </c>
      <c r="U44" s="47">
        <v>19</v>
      </c>
      <c r="V44" s="47">
        <v>20</v>
      </c>
      <c r="W44" s="47">
        <v>21</v>
      </c>
      <c r="X44" s="47">
        <v>22</v>
      </c>
      <c r="Y44" s="47">
        <v>23</v>
      </c>
      <c r="Z44" s="47">
        <v>24</v>
      </c>
      <c r="AA44" s="47">
        <v>25</v>
      </c>
    </row>
    <row r="46" spans="1:27">
      <c r="A46" s="47" t="s">
        <v>119</v>
      </c>
      <c r="B46" s="78" t="s">
        <v>23</v>
      </c>
      <c r="C46" s="63">
        <v>25</v>
      </c>
      <c r="D46" s="63">
        <v>24</v>
      </c>
      <c r="E46" s="63">
        <v>23</v>
      </c>
      <c r="F46" s="63">
        <v>22</v>
      </c>
      <c r="G46" s="63">
        <v>21</v>
      </c>
      <c r="H46" s="63">
        <v>20</v>
      </c>
      <c r="I46" s="63">
        <v>19</v>
      </c>
      <c r="J46" s="63">
        <v>18</v>
      </c>
      <c r="K46" s="63">
        <v>17</v>
      </c>
      <c r="L46" s="63">
        <v>16</v>
      </c>
      <c r="M46" s="63">
        <v>15</v>
      </c>
      <c r="N46" s="63">
        <v>14</v>
      </c>
      <c r="O46" s="63">
        <v>13</v>
      </c>
      <c r="P46" s="63">
        <v>12</v>
      </c>
      <c r="Q46" s="63">
        <v>11</v>
      </c>
      <c r="R46" s="63">
        <v>10</v>
      </c>
      <c r="S46" s="63">
        <v>9</v>
      </c>
      <c r="T46" s="63">
        <v>8</v>
      </c>
      <c r="U46" s="63">
        <v>7</v>
      </c>
      <c r="V46" s="63">
        <v>6</v>
      </c>
      <c r="W46" s="63">
        <v>5</v>
      </c>
      <c r="X46" s="63">
        <v>4</v>
      </c>
      <c r="Y46" s="63">
        <v>3</v>
      </c>
      <c r="Z46" s="63">
        <v>2</v>
      </c>
      <c r="AA46" s="63">
        <v>1</v>
      </c>
    </row>
    <row r="47" spans="1:27">
      <c r="B47" s="79" t="s">
        <v>24</v>
      </c>
      <c r="C47" s="80">
        <v>0.11700000000000001</v>
      </c>
      <c r="D47" s="80">
        <v>0.17499999999999999</v>
      </c>
      <c r="E47" s="80">
        <v>0.23499999999999999</v>
      </c>
      <c r="F47" s="80">
        <v>0.29799999999999999</v>
      </c>
      <c r="G47" s="80">
        <v>0.36499999999999999</v>
      </c>
      <c r="H47" s="80">
        <v>0.438</v>
      </c>
      <c r="I47" s="80">
        <v>0.501</v>
      </c>
      <c r="J47" s="80">
        <v>0.56000000000000005</v>
      </c>
      <c r="K47" s="80">
        <v>0.61699999999999999</v>
      </c>
      <c r="L47" s="80">
        <v>0.67300000000000004</v>
      </c>
      <c r="M47" s="80">
        <v>0.72899999999999998</v>
      </c>
      <c r="N47" s="80">
        <v>0.78700000000000003</v>
      </c>
      <c r="O47" s="80">
        <v>0.82699999999999996</v>
      </c>
      <c r="P47" s="80">
        <v>0.872</v>
      </c>
      <c r="Q47" s="80">
        <v>0.91800000000000004</v>
      </c>
      <c r="R47" s="80">
        <v>0.96399999999999997</v>
      </c>
      <c r="S47" s="80">
        <v>1.012</v>
      </c>
      <c r="T47" s="80">
        <v>1.0620000000000001</v>
      </c>
      <c r="U47" s="80">
        <v>1.115</v>
      </c>
      <c r="V47" s="80">
        <v>1.171</v>
      </c>
      <c r="W47" s="80">
        <v>1.2330000000000001</v>
      </c>
      <c r="X47" s="80">
        <v>1.3</v>
      </c>
      <c r="Y47" s="80">
        <v>1.3759999999999999</v>
      </c>
      <c r="Z47" s="81">
        <v>1.462</v>
      </c>
      <c r="AA47" s="81">
        <v>1.5609999999999999</v>
      </c>
    </row>
    <row r="48" spans="1:27">
      <c r="B48" s="47" t="s">
        <v>25</v>
      </c>
      <c r="C48" s="82">
        <v>15.542523208944173</v>
      </c>
      <c r="D48" s="82">
        <v>14.563172016014803</v>
      </c>
      <c r="E48" s="82">
        <v>13.823402833641209</v>
      </c>
      <c r="F48" s="82">
        <v>13.249643783458126</v>
      </c>
      <c r="G48" s="82">
        <v>12.795913327313944</v>
      </c>
      <c r="H48" s="82">
        <v>12.494320218814803</v>
      </c>
      <c r="I48" s="82">
        <v>12.215143910006702</v>
      </c>
      <c r="J48" s="82">
        <v>11.946673438449171</v>
      </c>
      <c r="K48" s="82">
        <v>11.69074611773123</v>
      </c>
      <c r="L48" s="82">
        <v>11.44790611737503</v>
      </c>
      <c r="M48" s="82">
        <v>11.218453202765543</v>
      </c>
      <c r="N48" s="82">
        <v>11.002493654238402</v>
      </c>
      <c r="O48" s="82">
        <v>10.778824701548249</v>
      </c>
      <c r="P48" s="82">
        <v>10.50088689536136</v>
      </c>
      <c r="Q48" s="82">
        <v>10.223230911484942</v>
      </c>
      <c r="R48" s="82">
        <v>9.9665838060006013</v>
      </c>
      <c r="S48" s="82">
        <v>9.6490561714956531</v>
      </c>
      <c r="T48" s="82">
        <v>9.3516878270439925</v>
      </c>
      <c r="U48" s="82">
        <v>9.0462750779603471</v>
      </c>
      <c r="V48" s="82">
        <v>8.7330153943800894</v>
      </c>
      <c r="W48" s="82">
        <v>8.4103852644832298</v>
      </c>
      <c r="X48" s="82">
        <v>8.0785394705963309</v>
      </c>
      <c r="Y48" s="82">
        <v>7.7339184642774654</v>
      </c>
      <c r="Z48" s="82">
        <v>7.3797213251180001</v>
      </c>
      <c r="AA48" s="82">
        <v>7.010942983215223</v>
      </c>
    </row>
    <row r="49" spans="1:27">
      <c r="B49" s="47" t="s">
        <v>26</v>
      </c>
      <c r="C49" s="82">
        <v>12.058055690402281</v>
      </c>
      <c r="D49" s="82">
        <v>11.277042731869303</v>
      </c>
      <c r="E49" s="82">
        <v>10.695839360567929</v>
      </c>
      <c r="F49" s="82">
        <v>10.249929354775103</v>
      </c>
      <c r="G49" s="82">
        <v>9.8996111231344042</v>
      </c>
      <c r="H49" s="82">
        <v>9.6705511783131541</v>
      </c>
      <c r="I49" s="82">
        <v>9.4595935077993119</v>
      </c>
      <c r="J49" s="82">
        <v>9.2568100664865529</v>
      </c>
      <c r="K49" s="82">
        <v>9.0635941477137898</v>
      </c>
      <c r="L49" s="82">
        <v>8.8809963172498119</v>
      </c>
      <c r="M49" s="82">
        <v>8.7083645356673411</v>
      </c>
      <c r="N49" s="82">
        <v>8.5459467886343763</v>
      </c>
      <c r="O49" s="82">
        <v>8.378017563731234</v>
      </c>
      <c r="P49" s="82">
        <v>8.1692745226097276</v>
      </c>
      <c r="Q49" s="82">
        <v>7.9583541770082356</v>
      </c>
      <c r="R49" s="82">
        <v>7.742370616067606</v>
      </c>
      <c r="S49" s="82">
        <v>7.5210167520455959</v>
      </c>
      <c r="T49" s="82">
        <v>7.2935967218505855</v>
      </c>
      <c r="U49" s="82">
        <v>7.0593654514788922</v>
      </c>
      <c r="V49" s="82">
        <v>6.8189127742693616</v>
      </c>
      <c r="W49" s="82">
        <v>6.5696004449625267</v>
      </c>
      <c r="X49" s="82">
        <v>6.313086910600088</v>
      </c>
      <c r="Y49" s="82">
        <v>6.0456361187009273</v>
      </c>
      <c r="Z49" s="82">
        <v>5.7685368074404133</v>
      </c>
      <c r="AA49" s="82">
        <v>5.4825184792642405</v>
      </c>
    </row>
    <row r="50" spans="1:27">
      <c r="B50" s="47" t="s">
        <v>27</v>
      </c>
      <c r="C50" s="82">
        <v>9.0757266230348215</v>
      </c>
      <c r="D50" s="82">
        <v>8.4743391560584769</v>
      </c>
      <c r="E50" s="82">
        <v>8.0317112318620065</v>
      </c>
      <c r="F50" s="82">
        <v>7.6946545521614151</v>
      </c>
      <c r="G50" s="82">
        <v>7.4316693211028051</v>
      </c>
      <c r="H50" s="82">
        <v>7.2613452817704429</v>
      </c>
      <c r="I50" s="82">
        <v>7.1046318375154165</v>
      </c>
      <c r="J50" s="82">
        <v>6.9541656410676023</v>
      </c>
      <c r="K50" s="82">
        <v>6.8108568713417803</v>
      </c>
      <c r="L50" s="82">
        <v>6.6758046240945781</v>
      </c>
      <c r="M50" s="82">
        <v>6.5481532133333014</v>
      </c>
      <c r="N50" s="82">
        <v>6.4278962350883138</v>
      </c>
      <c r="O50" s="82">
        <v>6.3043359725688548</v>
      </c>
      <c r="P50" s="82">
        <v>6.1481728526331674</v>
      </c>
      <c r="Q50" s="82">
        <v>5.9908772290269718</v>
      </c>
      <c r="R50" s="82">
        <v>5.8299878742580757</v>
      </c>
      <c r="S50" s="82">
        <v>5.6642616404279789</v>
      </c>
      <c r="T50" s="82">
        <v>5.4930660519331003</v>
      </c>
      <c r="U50" s="82">
        <v>5.3171796563093041</v>
      </c>
      <c r="V50" s="82">
        <v>5.1354229188609848</v>
      </c>
      <c r="W50" s="82">
        <v>4.9464551221252195</v>
      </c>
      <c r="X50" s="82">
        <v>4.7522406276286269</v>
      </c>
      <c r="Y50" s="82">
        <v>4.5475484026664601</v>
      </c>
      <c r="Z50" s="82">
        <v>4.3345661501072827</v>
      </c>
      <c r="AA50" s="82">
        <v>4.1196229478646709</v>
      </c>
    </row>
    <row r="51" spans="1:27">
      <c r="B51" s="47" t="s">
        <v>28</v>
      </c>
      <c r="C51" s="82">
        <v>6.6589860431805032</v>
      </c>
      <c r="D51" s="82">
        <v>6.2084657631065516</v>
      </c>
      <c r="E51" s="82">
        <v>5.8793232257209285</v>
      </c>
      <c r="F51" s="82">
        <v>5.629412533876315</v>
      </c>
      <c r="G51" s="82">
        <v>5.435550232403024</v>
      </c>
      <c r="H51" s="82">
        <v>5.3099944825597936</v>
      </c>
      <c r="I51" s="82">
        <v>5.1947009480833586</v>
      </c>
      <c r="J51" s="82">
        <v>5.0843048764259766</v>
      </c>
      <c r="K51" s="82">
        <v>4.979144163540739</v>
      </c>
      <c r="L51" s="82">
        <v>4.8806869512584541</v>
      </c>
      <c r="M51" s="82">
        <v>4.7873073211627055</v>
      </c>
      <c r="N51" s="82">
        <v>4.6993580567130175</v>
      </c>
      <c r="O51" s="82">
        <v>4.6097928111644793</v>
      </c>
      <c r="P51" s="82">
        <v>4.4961005194964301</v>
      </c>
      <c r="Q51" s="82">
        <v>4.3819872989921089</v>
      </c>
      <c r="R51" s="82">
        <v>4.2649228401010753</v>
      </c>
      <c r="S51" s="82">
        <v>4.1450135117471145</v>
      </c>
      <c r="T51" s="82">
        <v>4.0214102997471821</v>
      </c>
      <c r="U51" s="82">
        <v>3.8946070382808955</v>
      </c>
      <c r="V51" s="82">
        <v>3.7632824472645776</v>
      </c>
      <c r="W51" s="82">
        <v>3.6273600765154574</v>
      </c>
      <c r="X51" s="82">
        <v>3.4881926975884703</v>
      </c>
      <c r="Y51" s="82">
        <v>3.3433213948977136</v>
      </c>
      <c r="Z51" s="82">
        <v>3.1909587910026564</v>
      </c>
      <c r="AA51" s="82">
        <v>3.0523996956283717</v>
      </c>
    </row>
    <row r="52" spans="1:27">
      <c r="B52" s="47" t="s">
        <v>29</v>
      </c>
      <c r="C52" s="82">
        <v>4.711508959947535</v>
      </c>
      <c r="D52" s="82">
        <v>4.3926575851084371</v>
      </c>
      <c r="E52" s="82">
        <v>4.1613605161581377</v>
      </c>
      <c r="F52" s="82">
        <v>3.9855517794742239</v>
      </c>
      <c r="G52" s="82">
        <v>3.8503837138879144</v>
      </c>
      <c r="H52" s="82">
        <v>3.762306739169115</v>
      </c>
      <c r="I52" s="82">
        <v>3.6815939899562924</v>
      </c>
      <c r="J52" s="82">
        <v>3.6044456542042171</v>
      </c>
      <c r="K52" s="82">
        <v>3.5312191479353054</v>
      </c>
      <c r="L52" s="82">
        <v>3.4629328794931094</v>
      </c>
      <c r="M52" s="82">
        <v>3.3980070338305834</v>
      </c>
      <c r="N52" s="82">
        <v>3.3365511508236421</v>
      </c>
      <c r="O52" s="82">
        <v>3.2748574296644595</v>
      </c>
      <c r="P52" s="82">
        <v>3.1957238293991801</v>
      </c>
      <c r="Q52" s="82">
        <v>3.1165650106626632</v>
      </c>
      <c r="R52" s="82">
        <v>3.0353936238556933</v>
      </c>
      <c r="S52" s="82">
        <v>2.9519623633898817</v>
      </c>
      <c r="T52" s="82">
        <v>2.866418360912856</v>
      </c>
      <c r="U52" s="82">
        <v>2.7800694179432375</v>
      </c>
      <c r="V52" s="82">
        <v>2.6895733310800547</v>
      </c>
      <c r="W52" s="82">
        <v>2.5946083388867853</v>
      </c>
      <c r="X52" s="82">
        <v>2.4970965265387077</v>
      </c>
      <c r="Y52" s="82">
        <v>2.3995039079396792</v>
      </c>
      <c r="Z52" s="82">
        <v>2.3022871011431754</v>
      </c>
      <c r="AA52" s="82">
        <v>2.2193736625938296</v>
      </c>
    </row>
    <row r="54" spans="1:27">
      <c r="A54" s="47" t="s">
        <v>120</v>
      </c>
      <c r="B54" s="78" t="s">
        <v>23</v>
      </c>
      <c r="C54" s="63">
        <v>25</v>
      </c>
      <c r="D54" s="63">
        <v>24</v>
      </c>
      <c r="E54" s="63">
        <v>23</v>
      </c>
      <c r="F54" s="63">
        <v>22</v>
      </c>
      <c r="G54" s="63">
        <v>21</v>
      </c>
      <c r="H54" s="63">
        <v>20</v>
      </c>
      <c r="I54" s="63">
        <v>19</v>
      </c>
      <c r="J54" s="63">
        <v>18</v>
      </c>
      <c r="K54" s="63">
        <v>17</v>
      </c>
      <c r="L54" s="63">
        <v>16</v>
      </c>
      <c r="M54" s="63">
        <v>15</v>
      </c>
      <c r="N54" s="63">
        <v>14</v>
      </c>
      <c r="O54" s="63">
        <v>13</v>
      </c>
      <c r="P54" s="63">
        <v>12</v>
      </c>
      <c r="Q54" s="63">
        <v>11</v>
      </c>
      <c r="R54" s="63">
        <v>10</v>
      </c>
      <c r="S54" s="63">
        <v>9</v>
      </c>
      <c r="T54" s="63">
        <v>8</v>
      </c>
      <c r="U54" s="63">
        <v>7</v>
      </c>
      <c r="V54" s="63">
        <v>6</v>
      </c>
      <c r="W54" s="63">
        <v>5</v>
      </c>
      <c r="X54" s="63">
        <v>4</v>
      </c>
      <c r="Y54" s="63">
        <v>3</v>
      </c>
      <c r="Z54" s="63">
        <v>2</v>
      </c>
      <c r="AA54" s="63">
        <v>1</v>
      </c>
    </row>
    <row r="55" spans="1:27">
      <c r="B55" s="79" t="s">
        <v>24</v>
      </c>
      <c r="C55" s="80">
        <v>0.11700000000000001</v>
      </c>
      <c r="D55" s="80">
        <v>0.17499999999999999</v>
      </c>
      <c r="E55" s="80">
        <v>0.23499999999999999</v>
      </c>
      <c r="F55" s="80">
        <v>0.29799999999999999</v>
      </c>
      <c r="G55" s="80">
        <v>0.36499999999999999</v>
      </c>
      <c r="H55" s="80">
        <v>0.438</v>
      </c>
      <c r="I55" s="80">
        <v>0.501</v>
      </c>
      <c r="J55" s="80">
        <v>0.56000000000000005</v>
      </c>
      <c r="K55" s="80">
        <v>0.61699999999999999</v>
      </c>
      <c r="L55" s="80">
        <v>0.67300000000000004</v>
      </c>
      <c r="M55" s="80">
        <v>0.72899999999999998</v>
      </c>
      <c r="N55" s="80">
        <v>0.78700000000000003</v>
      </c>
      <c r="O55" s="80">
        <v>0.82699999999999996</v>
      </c>
      <c r="P55" s="80">
        <v>0.872</v>
      </c>
      <c r="Q55" s="80">
        <v>0.91800000000000004</v>
      </c>
      <c r="R55" s="80">
        <v>0.96399999999999997</v>
      </c>
      <c r="S55" s="80">
        <v>1.012</v>
      </c>
      <c r="T55" s="80">
        <v>1.0620000000000001</v>
      </c>
      <c r="U55" s="80">
        <v>1.115</v>
      </c>
      <c r="V55" s="80">
        <v>1.171</v>
      </c>
      <c r="W55" s="80">
        <v>1.2330000000000001</v>
      </c>
      <c r="X55" s="80">
        <v>1.3</v>
      </c>
      <c r="Y55" s="80">
        <v>1.3759999999999999</v>
      </c>
      <c r="Z55" s="81">
        <v>1.462</v>
      </c>
      <c r="AA55" s="81">
        <v>1.5609999999999999</v>
      </c>
    </row>
    <row r="56" spans="1:27">
      <c r="B56" s="47" t="s">
        <v>25</v>
      </c>
      <c r="C56" s="82">
        <v>17.5</v>
      </c>
      <c r="D56" s="82">
        <v>16.38</v>
      </c>
      <c r="E56" s="82">
        <v>15.52</v>
      </c>
      <c r="F56" s="82">
        <v>14.85</v>
      </c>
      <c r="G56" s="82">
        <v>14.3</v>
      </c>
      <c r="H56" s="82">
        <v>13.93</v>
      </c>
      <c r="I56" s="82">
        <v>13.6</v>
      </c>
      <c r="J56" s="82">
        <v>13.28</v>
      </c>
      <c r="K56" s="82">
        <v>12.97</v>
      </c>
      <c r="L56" s="82">
        <v>12.67</v>
      </c>
      <c r="M56" s="82">
        <v>12.4</v>
      </c>
      <c r="N56" s="82">
        <v>12.13</v>
      </c>
      <c r="O56" s="82">
        <v>11.87</v>
      </c>
      <c r="P56" s="82">
        <v>11.56</v>
      </c>
      <c r="Q56" s="82">
        <v>11.23</v>
      </c>
      <c r="R56" s="82">
        <v>10.9</v>
      </c>
      <c r="S56" s="82">
        <v>10.56</v>
      </c>
      <c r="T56" s="82">
        <v>10.220000000000001</v>
      </c>
      <c r="U56" s="82">
        <v>9.86</v>
      </c>
      <c r="V56" s="82">
        <v>9.5</v>
      </c>
      <c r="W56" s="82">
        <v>9.1300000000000008</v>
      </c>
      <c r="X56" s="82">
        <v>8.76</v>
      </c>
      <c r="Y56" s="82">
        <v>8.3699999999999992</v>
      </c>
      <c r="Z56" s="82">
        <v>7.9640000000000004</v>
      </c>
      <c r="AA56" s="82">
        <v>7.548</v>
      </c>
    </row>
    <row r="57" spans="1:27">
      <c r="B57" s="47" t="s">
        <v>26</v>
      </c>
      <c r="C57" s="82">
        <v>13.58</v>
      </c>
      <c r="D57" s="82">
        <v>12.66</v>
      </c>
      <c r="E57" s="82">
        <v>11.97</v>
      </c>
      <c r="F57" s="82">
        <v>11.44</v>
      </c>
      <c r="G57" s="82">
        <v>11.01</v>
      </c>
      <c r="H57" s="82">
        <v>10.73</v>
      </c>
      <c r="I57" s="82">
        <v>10.48</v>
      </c>
      <c r="J57" s="82">
        <v>10.23</v>
      </c>
      <c r="K57" s="82">
        <v>10</v>
      </c>
      <c r="L57" s="82">
        <v>9.7899999999999991</v>
      </c>
      <c r="M57" s="82">
        <v>9.56</v>
      </c>
      <c r="N57" s="82">
        <v>9.3699999999999992</v>
      </c>
      <c r="O57" s="82">
        <v>9.17</v>
      </c>
      <c r="P57" s="82">
        <v>8.92</v>
      </c>
      <c r="Q57" s="82">
        <v>8.67</v>
      </c>
      <c r="R57" s="82">
        <v>8.42</v>
      </c>
      <c r="S57" s="82">
        <v>8.1590000000000007</v>
      </c>
      <c r="T57" s="82">
        <v>7.8929999999999998</v>
      </c>
      <c r="U57" s="82">
        <v>7.62</v>
      </c>
      <c r="V57" s="82">
        <v>7.3390000000000004</v>
      </c>
      <c r="W57" s="82">
        <v>7.0510000000000002</v>
      </c>
      <c r="X57" s="82">
        <v>6.7539999999999996</v>
      </c>
      <c r="Y57" s="82">
        <v>6.4480000000000004</v>
      </c>
      <c r="Z57" s="82">
        <v>6.13</v>
      </c>
      <c r="AA57" s="82">
        <v>5.8</v>
      </c>
    </row>
    <row r="58" spans="1:27">
      <c r="B58" s="47" t="s">
        <v>27</v>
      </c>
      <c r="C58" s="82">
        <v>10.17</v>
      </c>
      <c r="D58" s="82">
        <v>9.4600000000000009</v>
      </c>
      <c r="E58" s="82">
        <v>8.94</v>
      </c>
      <c r="F58" s="82">
        <v>8.5399999999999991</v>
      </c>
      <c r="G58" s="82">
        <v>8.2200000000000006</v>
      </c>
      <c r="H58" s="82">
        <v>8.01</v>
      </c>
      <c r="I58" s="82">
        <v>7.83</v>
      </c>
      <c r="J58" s="82">
        <v>7.65</v>
      </c>
      <c r="K58" s="82">
        <v>7.48</v>
      </c>
      <c r="L58" s="82">
        <v>7.32</v>
      </c>
      <c r="M58" s="82">
        <v>7.16</v>
      </c>
      <c r="N58" s="82">
        <v>7.02</v>
      </c>
      <c r="O58" s="82">
        <v>6.88</v>
      </c>
      <c r="P58" s="82">
        <v>6.7</v>
      </c>
      <c r="Q58" s="82">
        <v>6.52</v>
      </c>
      <c r="R58" s="82">
        <v>6.33</v>
      </c>
      <c r="S58" s="82">
        <v>6.14</v>
      </c>
      <c r="T58" s="82">
        <v>5.95</v>
      </c>
      <c r="U58" s="82">
        <v>5.75</v>
      </c>
      <c r="V58" s="82">
        <v>5.54</v>
      </c>
      <c r="W58" s="82">
        <v>5.33</v>
      </c>
      <c r="X58" s="82">
        <v>5.1100000000000003</v>
      </c>
      <c r="Y58" s="82">
        <v>4.88</v>
      </c>
      <c r="Z58" s="82">
        <v>4.6399999999999997</v>
      </c>
      <c r="AA58" s="82">
        <v>4.391</v>
      </c>
    </row>
    <row r="59" spans="1:27">
      <c r="B59" s="47" t="s">
        <v>28</v>
      </c>
      <c r="C59" s="82">
        <v>7.45</v>
      </c>
      <c r="D59" s="82">
        <v>6.91</v>
      </c>
      <c r="E59" s="82">
        <v>6.52</v>
      </c>
      <c r="F59" s="82">
        <v>6.22</v>
      </c>
      <c r="G59" s="82">
        <v>5.99</v>
      </c>
      <c r="H59" s="82">
        <v>5.84</v>
      </c>
      <c r="I59" s="82">
        <v>5.7</v>
      </c>
      <c r="J59" s="82">
        <v>5.57</v>
      </c>
      <c r="K59" s="82">
        <v>5.44</v>
      </c>
      <c r="L59" s="82">
        <v>5.33</v>
      </c>
      <c r="M59" s="82">
        <v>5.21</v>
      </c>
      <c r="N59" s="82">
        <v>5.1100000000000003</v>
      </c>
      <c r="O59" s="82">
        <v>5</v>
      </c>
      <c r="P59" s="82">
        <v>4.88</v>
      </c>
      <c r="Q59" s="82">
        <v>4.74</v>
      </c>
      <c r="R59" s="82">
        <v>4.6100000000000003</v>
      </c>
      <c r="S59" s="82">
        <v>4.47</v>
      </c>
      <c r="T59" s="82">
        <v>4.33</v>
      </c>
      <c r="U59" s="82">
        <v>4.1900000000000004</v>
      </c>
      <c r="V59" s="82">
        <v>4.04</v>
      </c>
      <c r="W59" s="82">
        <v>3.89</v>
      </c>
      <c r="X59" s="82">
        <v>3.73</v>
      </c>
      <c r="Y59" s="82">
        <v>3.57</v>
      </c>
      <c r="Z59" s="82">
        <v>3.3980000000000001</v>
      </c>
      <c r="AA59" s="82">
        <v>3.222</v>
      </c>
    </row>
    <row r="60" spans="1:27">
      <c r="B60" s="47" t="s">
        <v>29</v>
      </c>
      <c r="C60" s="82">
        <v>5.24</v>
      </c>
      <c r="D60" s="82">
        <v>4.8600000000000003</v>
      </c>
      <c r="E60" s="82">
        <v>4.59</v>
      </c>
      <c r="F60" s="82">
        <v>4.38</v>
      </c>
      <c r="G60" s="82">
        <v>4.21</v>
      </c>
      <c r="H60" s="82">
        <v>4.1100000000000003</v>
      </c>
      <c r="I60" s="82">
        <v>4.01</v>
      </c>
      <c r="J60" s="82">
        <v>3.92</v>
      </c>
      <c r="K60" s="82">
        <v>3.92</v>
      </c>
      <c r="L60" s="82">
        <v>3.75</v>
      </c>
      <c r="M60" s="82">
        <v>3.67</v>
      </c>
      <c r="N60" s="82">
        <v>3.6</v>
      </c>
      <c r="O60" s="82">
        <v>3.53</v>
      </c>
      <c r="P60" s="82">
        <v>3.44</v>
      </c>
      <c r="Q60" s="82">
        <v>3.35</v>
      </c>
      <c r="R60" s="82">
        <v>3.26</v>
      </c>
      <c r="S60" s="82">
        <v>3.16</v>
      </c>
      <c r="T60" s="82">
        <v>3.07</v>
      </c>
      <c r="U60" s="82">
        <v>2.97</v>
      </c>
      <c r="V60" s="82">
        <v>2.87</v>
      </c>
      <c r="W60" s="82">
        <v>2.76</v>
      </c>
      <c r="X60" s="82">
        <v>2.65</v>
      </c>
      <c r="Y60" s="82">
        <v>2.54</v>
      </c>
      <c r="Z60" s="82">
        <v>2.4289999999999998</v>
      </c>
      <c r="AA60" s="82">
        <v>2.3090000000000002</v>
      </c>
    </row>
    <row r="61" spans="1:27">
      <c r="C61" s="47">
        <v>1</v>
      </c>
      <c r="D61" s="47">
        <v>2</v>
      </c>
      <c r="E61" s="47">
        <v>3</v>
      </c>
      <c r="F61" s="47">
        <v>4</v>
      </c>
      <c r="G61" s="47">
        <v>5</v>
      </c>
      <c r="H61" s="47">
        <v>6</v>
      </c>
      <c r="I61" s="47">
        <v>7</v>
      </c>
      <c r="J61" s="47">
        <v>8</v>
      </c>
      <c r="K61" s="47">
        <v>9</v>
      </c>
      <c r="L61" s="47">
        <v>10</v>
      </c>
      <c r="M61" s="47">
        <v>11</v>
      </c>
      <c r="N61" s="47">
        <v>12</v>
      </c>
      <c r="O61" s="47">
        <v>13</v>
      </c>
      <c r="P61" s="47">
        <v>14</v>
      </c>
      <c r="Q61" s="47">
        <v>15</v>
      </c>
      <c r="R61" s="47">
        <v>16</v>
      </c>
      <c r="S61" s="47">
        <v>17</v>
      </c>
      <c r="T61" s="47">
        <v>18</v>
      </c>
      <c r="U61" s="47">
        <v>19</v>
      </c>
      <c r="V61" s="47">
        <v>20</v>
      </c>
      <c r="W61" s="47">
        <v>21</v>
      </c>
      <c r="X61" s="47">
        <v>22</v>
      </c>
      <c r="Y61" s="47">
        <v>23</v>
      </c>
      <c r="Z61" s="47">
        <v>24</v>
      </c>
      <c r="AA61" s="47">
        <v>25</v>
      </c>
    </row>
  </sheetData>
  <sheetProtection sheet="1" objects="1" scenarios="1"/>
  <protectedRanges>
    <protectedRange sqref="E3" name="Range2"/>
    <protectedRange sqref="L2:L3" name="Range1"/>
  </protectedRanges>
  <dataValidations count="1">
    <dataValidation type="list" allowBlank="1" showInputMessage="1" showErrorMessage="1" sqref="E3">
      <formula1>"Yes,No"</formula1>
    </dataValidation>
  </dataValidations>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S1" sqref="S1"/>
    </sheetView>
  </sheetViews>
  <sheetFormatPr defaultColWidth="9.140625" defaultRowHeight="12.75"/>
  <sheetData/>
  <sheetProtection sheet="1" objects="1" scenarios="1" selectLockedCells="1" selectUn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Modèles</vt:lpstr>
      <vt:lpstr>Méthode</vt:lpstr>
      <vt:lpstr>Espérances de vie</vt:lpstr>
      <vt:lpstr>Graphiques</vt:lpstr>
    </vt:vector>
  </TitlesOfParts>
  <Company>University of Cape Town (Commerce 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Dorrrington</dc:creator>
  <cp:lastModifiedBy>Anne</cp:lastModifiedBy>
  <dcterms:created xsi:type="dcterms:W3CDTF">2011-09-04T06:06:40Z</dcterms:created>
  <dcterms:modified xsi:type="dcterms:W3CDTF">2017-03-22T11:47:12Z</dcterms:modified>
</cp:coreProperties>
</file>