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15" yWindow="4140" windowWidth="20520" windowHeight="4200"/>
  </bookViews>
  <sheets>
    <sheet name="Introduction" sheetId="7" r:id="rId1"/>
    <sheet name="Modèles" sheetId="8" r:id="rId2"/>
    <sheet name="Orphelins de mère" sheetId="1" r:id="rId3"/>
    <sheet name="Orphelins de père" sheetId="5" r:id="rId4"/>
    <sheet name="Graphiques" sheetId="6" r:id="rId5"/>
  </sheets>
  <externalReferences>
    <externalReference r:id="rId6"/>
  </externalReferences>
  <definedNames>
    <definedName name="__123Graph_A" hidden="1">'Orphelins de mère'!$H$35:$H$39</definedName>
    <definedName name="__123Graph_A1" hidden="1">'Orphelins de mère'!$H$35:$H$39</definedName>
    <definedName name="__123Graph_X" hidden="1">'Orphelins de mère'!$K$35:$K$39</definedName>
    <definedName name="__123Graph_X1" hidden="1">'Orphelins de mère'!$K$35:$K$39</definedName>
    <definedName name="_Regression_Int" localSheetId="2" hidden="1">0</definedName>
    <definedName name="Date_of_survey" localSheetId="0">'[1]Maternal orphanhood'!$R$1</definedName>
    <definedName name="Date_of_survey">'Orphelins de mère'!$T$1</definedName>
    <definedName name="M_MBAR">#REF!</definedName>
    <definedName name="MBAR" localSheetId="0">'[1]Maternal orphanhood'!$D$29</definedName>
    <definedName name="MBAR">'Orphelins de mère'!$G$1</definedName>
    <definedName name="MBAR_m" localSheetId="0">'[1]Paternal orphanhood'!$C$17</definedName>
    <definedName name="MBAR_m">'Orphelins de père'!$AE$10</definedName>
    <definedName name="mbar2">#REF!</definedName>
    <definedName name="Model_LTs">Modèles!$B$2:$G$2</definedName>
    <definedName name="SDAT">'Orphelins de mère'!#REF!</definedName>
    <definedName name="SMAM">'Orphelins de mère'!$M$1</definedName>
    <definedName name="TABLE" localSheetId="2">'Orphelins de mère'!$G$46:$K$66</definedName>
    <definedName name="TABLE_2" localSheetId="2">'Orphelins de mère'!$G$46:$K$66</definedName>
    <definedName name="TABLE_3" localSheetId="2">'Orphelins de mère'!$G$46:$K$66</definedName>
    <definedName name="TABLE_4" localSheetId="2">'Orphelins de mère'!$G$46:$K$66</definedName>
  </definedNames>
  <calcPr calcId="145621"/>
</workbook>
</file>

<file path=xl/calcChain.xml><?xml version="1.0" encoding="utf-8"?>
<calcChain xmlns="http://schemas.openxmlformats.org/spreadsheetml/2006/main">
  <c r="C47" i="1" l="1"/>
  <c r="N25" i="1" l="1"/>
  <c r="E23" i="5" l="1"/>
  <c r="R40" i="1"/>
  <c r="E21" i="1"/>
  <c r="G25" i="1"/>
  <c r="B38" i="8"/>
  <c r="C38" i="8" s="1"/>
  <c r="D38" i="8" s="1"/>
  <c r="B37" i="8"/>
  <c r="C37" i="8" s="1"/>
  <c r="D37" i="8" s="1"/>
  <c r="B36" i="8"/>
  <c r="C36" i="8" s="1"/>
  <c r="D36" i="8" s="1"/>
  <c r="H25" i="1" s="1"/>
  <c r="B35" i="8"/>
  <c r="C35" i="8" s="1"/>
  <c r="D35" i="8" s="1"/>
  <c r="H24" i="1" s="1"/>
  <c r="B34" i="8"/>
  <c r="C34" i="8" s="1"/>
  <c r="D34" i="8" s="1"/>
  <c r="H23" i="1" s="1"/>
  <c r="B33" i="8"/>
  <c r="C33" i="8" s="1"/>
  <c r="D33" i="8" s="1"/>
  <c r="H22" i="1" s="1"/>
  <c r="B32" i="8"/>
  <c r="C32" i="8" s="1"/>
  <c r="D32" i="8" s="1"/>
  <c r="H10" i="1" s="1"/>
  <c r="B31" i="8"/>
  <c r="C31" i="8" s="1"/>
  <c r="D31" i="8" s="1"/>
  <c r="H9" i="1" s="1"/>
  <c r="B30" i="8"/>
  <c r="C30" i="8" s="1"/>
  <c r="D30" i="8" s="1"/>
  <c r="B29" i="8"/>
  <c r="C29" i="8" s="1"/>
  <c r="D29" i="8" s="1"/>
  <c r="H7" i="1" s="1"/>
  <c r="B28" i="8"/>
  <c r="C28" i="8" s="1"/>
  <c r="D28" i="8" s="1"/>
  <c r="H6" i="1" s="1"/>
  <c r="B27" i="8"/>
  <c r="C27" i="8" s="1"/>
  <c r="D27" i="8" s="1"/>
  <c r="B26" i="8"/>
  <c r="C26" i="8" s="1"/>
  <c r="D26" i="8" s="1"/>
  <c r="B25" i="8"/>
  <c r="C25" i="8" s="1"/>
  <c r="D25" i="8" s="1"/>
  <c r="A25" i="8"/>
  <c r="A26" i="8" s="1"/>
  <c r="A27" i="8" s="1"/>
  <c r="A28" i="8" s="1"/>
  <c r="A29" i="8" s="1"/>
  <c r="A30" i="8" s="1"/>
  <c r="A31" i="8" s="1"/>
  <c r="A32" i="8" s="1"/>
  <c r="A33" i="8" s="1"/>
  <c r="A34" i="8" s="1"/>
  <c r="A35" i="8" s="1"/>
  <c r="A36" i="8" s="1"/>
  <c r="A37" i="8" s="1"/>
  <c r="A38" i="8" s="1"/>
  <c r="B24" i="8"/>
  <c r="C24" i="8" s="1"/>
  <c r="D24" i="8" s="1"/>
  <c r="E21" i="5"/>
  <c r="E22" i="5"/>
  <c r="E20" i="5"/>
  <c r="E25" i="1"/>
  <c r="E22" i="1"/>
  <c r="E23" i="1"/>
  <c r="E24" i="1"/>
  <c r="C62" i="5"/>
  <c r="B62" i="5"/>
  <c r="B54" i="1"/>
  <c r="D47" i="1"/>
  <c r="G1" i="5"/>
  <c r="K1" i="5"/>
  <c r="K1" i="1"/>
  <c r="T1" i="1" s="1"/>
  <c r="H37" i="1" l="1"/>
  <c r="H39" i="1"/>
  <c r="D57" i="5"/>
  <c r="D47" i="5"/>
  <c r="D56" i="5"/>
  <c r="D54" i="5"/>
  <c r="T15" i="5"/>
  <c r="T27" i="5"/>
  <c r="T30" i="1"/>
  <c r="T16" i="1"/>
  <c r="E55" i="5"/>
  <c r="D48" i="5"/>
  <c r="E49" i="5"/>
  <c r="E51" i="5"/>
  <c r="E50" i="5"/>
  <c r="E60" i="5"/>
  <c r="E56" i="5"/>
  <c r="E58" i="5"/>
  <c r="E52" i="5"/>
  <c r="E47" i="5"/>
  <c r="E59" i="5"/>
  <c r="E54" i="5"/>
  <c r="E48" i="5"/>
  <c r="C48" i="1"/>
  <c r="H13" i="1"/>
  <c r="H12" i="1"/>
  <c r="H8" i="1"/>
  <c r="H21" i="1"/>
  <c r="H35" i="1"/>
  <c r="H38" i="1"/>
  <c r="H36" i="1"/>
  <c r="H14" i="1"/>
  <c r="H11" i="1"/>
  <c r="I25" i="1"/>
  <c r="J25" i="1" s="1"/>
  <c r="D61" i="5"/>
  <c r="D53" i="5"/>
  <c r="D49" i="5"/>
  <c r="D58" i="5"/>
  <c r="D50" i="5"/>
  <c r="D59" i="5"/>
  <c r="D55" i="5"/>
  <c r="D51" i="5"/>
  <c r="E61" i="5"/>
  <c r="E57" i="5"/>
  <c r="E53" i="5"/>
  <c r="D60" i="5"/>
  <c r="D52" i="5"/>
  <c r="D62" i="5" l="1"/>
  <c r="E62" i="5"/>
  <c r="C49" i="1"/>
  <c r="D48" i="1"/>
  <c r="C41" i="5" l="1"/>
  <c r="C50" i="1"/>
  <c r="D49" i="1"/>
  <c r="D50" i="1" l="1"/>
  <c r="C51" i="1"/>
  <c r="C52" i="1" l="1"/>
  <c r="D51" i="1"/>
  <c r="C53" i="1" l="1"/>
  <c r="D53" i="1" s="1"/>
  <c r="D52" i="1"/>
  <c r="T1" i="5"/>
  <c r="H6" i="5"/>
  <c r="H34" i="5"/>
  <c r="H20" i="5"/>
  <c r="H21" i="5"/>
  <c r="H12" i="5"/>
  <c r="H9" i="5"/>
  <c r="D54" i="1" l="1"/>
  <c r="C56" i="1" s="1"/>
  <c r="C40" i="5" s="1"/>
  <c r="C42" i="5" s="1"/>
  <c r="H7" i="5"/>
  <c r="H11" i="5"/>
  <c r="H22" i="5"/>
  <c r="H32" i="5"/>
  <c r="H35" i="5"/>
  <c r="H33" i="5"/>
  <c r="H10" i="5"/>
  <c r="H8" i="5"/>
  <c r="H36" i="5"/>
  <c r="E7" i="1" l="1"/>
  <c r="E11" i="1"/>
  <c r="E6" i="1"/>
  <c r="E13" i="1"/>
  <c r="E10" i="1"/>
  <c r="E14" i="1"/>
  <c r="E9" i="1"/>
  <c r="E8" i="1"/>
  <c r="E12" i="1"/>
  <c r="O25" i="1"/>
  <c r="V6" i="1"/>
  <c r="V7" i="1" s="1"/>
  <c r="V8" i="1" s="1"/>
  <c r="V9" i="1" s="1"/>
  <c r="V10" i="1" s="1"/>
  <c r="V11" i="1" s="1"/>
  <c r="V12" i="1" s="1"/>
  <c r="V13" i="1" s="1"/>
  <c r="V14" i="1" s="1"/>
  <c r="P25" i="1" l="1"/>
  <c r="G39" i="1"/>
  <c r="I39" i="1" s="1"/>
  <c r="E11" i="5"/>
  <c r="E10" i="5"/>
  <c r="E8" i="5"/>
  <c r="E13" i="5"/>
  <c r="E9" i="5"/>
  <c r="E12" i="5"/>
  <c r="E6" i="5"/>
  <c r="G6" i="5" s="1"/>
  <c r="E7" i="5"/>
  <c r="R36" i="5"/>
  <c r="O36" i="5"/>
  <c r="R35" i="5"/>
  <c r="O35" i="5"/>
  <c r="R34" i="5"/>
  <c r="O34" i="5"/>
  <c r="R33" i="5"/>
  <c r="O33" i="5"/>
  <c r="R32" i="5"/>
  <c r="O32" i="5"/>
  <c r="O22" i="5"/>
  <c r="O21" i="5"/>
  <c r="O20" i="5"/>
  <c r="V7" i="5"/>
  <c r="V8" i="5" s="1"/>
  <c r="V9" i="5" s="1"/>
  <c r="V10" i="5" s="1"/>
  <c r="V11" i="5" s="1"/>
  <c r="V12" i="5" s="1"/>
  <c r="V13" i="5" s="1"/>
  <c r="O12" i="5"/>
  <c r="O11" i="5"/>
  <c r="O10" i="5"/>
  <c r="O9" i="5"/>
  <c r="O8" i="5"/>
  <c r="N7" i="5"/>
  <c r="N8" i="5" s="1"/>
  <c r="O7" i="5"/>
  <c r="R6" i="5"/>
  <c r="O6" i="5"/>
  <c r="O22" i="1"/>
  <c r="O23" i="1"/>
  <c r="O24" i="1"/>
  <c r="O21" i="1"/>
  <c r="R25" i="1"/>
  <c r="R39" i="1"/>
  <c r="R36" i="1"/>
  <c r="R37" i="1"/>
  <c r="R38" i="1"/>
  <c r="R35" i="1"/>
  <c r="O36" i="1"/>
  <c r="O37" i="1"/>
  <c r="O38" i="1"/>
  <c r="O39" i="1"/>
  <c r="O35" i="1"/>
  <c r="G7" i="1"/>
  <c r="I7" i="1" s="1"/>
  <c r="J7" i="1" s="1"/>
  <c r="G8" i="1"/>
  <c r="I8" i="1" s="1"/>
  <c r="J8" i="1" s="1"/>
  <c r="G14" i="1"/>
  <c r="I14" i="1" s="1"/>
  <c r="J14" i="1" s="1"/>
  <c r="O9" i="1"/>
  <c r="O10" i="1"/>
  <c r="O11" i="1"/>
  <c r="O12" i="1"/>
  <c r="O13" i="1"/>
  <c r="O14" i="1"/>
  <c r="O8" i="1"/>
  <c r="O7" i="1"/>
  <c r="G6" i="1"/>
  <c r="I6" i="1" s="1"/>
  <c r="J6" i="1" s="1"/>
  <c r="O6" i="1"/>
  <c r="N6" i="1"/>
  <c r="R6" i="1" s="1"/>
  <c r="Y21" i="1"/>
  <c r="Z21" i="1"/>
  <c r="Y22" i="1"/>
  <c r="Z22" i="1"/>
  <c r="W23" i="1"/>
  <c r="Y23" i="1"/>
  <c r="W24" i="1"/>
  <c r="Y24" i="1"/>
  <c r="W25" i="1"/>
  <c r="Y25" i="1"/>
  <c r="W35" i="1"/>
  <c r="Z35" i="1"/>
  <c r="W36" i="1"/>
  <c r="Z36" i="1"/>
  <c r="W37" i="1"/>
  <c r="Z37" i="1"/>
  <c r="W38" i="1"/>
  <c r="Z38" i="1"/>
  <c r="W39" i="1"/>
  <c r="Z39" i="1"/>
  <c r="P6" i="5" l="1"/>
  <c r="Q6" i="5" s="1"/>
  <c r="S6" i="5" s="1"/>
  <c r="T6" i="5" s="1"/>
  <c r="K6" i="5" s="1"/>
  <c r="G21" i="5"/>
  <c r="I21" i="5" s="1"/>
  <c r="J21" i="5" s="1"/>
  <c r="G11" i="5"/>
  <c r="G33" i="5"/>
  <c r="G34" i="5"/>
  <c r="G22" i="5"/>
  <c r="G20" i="5"/>
  <c r="G32" i="5"/>
  <c r="I32" i="5" s="1"/>
  <c r="J32" i="5" s="1"/>
  <c r="G36" i="5"/>
  <c r="G35" i="5"/>
  <c r="I35" i="5" s="1"/>
  <c r="J35" i="5" s="1"/>
  <c r="G38" i="1"/>
  <c r="I38" i="1" s="1"/>
  <c r="J38" i="1" s="1"/>
  <c r="G36" i="1"/>
  <c r="I36" i="1" s="1"/>
  <c r="J36" i="1" s="1"/>
  <c r="G23" i="1"/>
  <c r="I23" i="1" s="1"/>
  <c r="J23" i="1" s="1"/>
  <c r="G21" i="1"/>
  <c r="I21" i="1" s="1"/>
  <c r="J21" i="1" s="1"/>
  <c r="J39" i="1"/>
  <c r="G37" i="1"/>
  <c r="I37" i="1" s="1"/>
  <c r="J37" i="1" s="1"/>
  <c r="G35" i="1"/>
  <c r="I35" i="1" s="1"/>
  <c r="J35" i="1" s="1"/>
  <c r="G24" i="1"/>
  <c r="I24" i="1" s="1"/>
  <c r="J24" i="1" s="1"/>
  <c r="G22" i="1"/>
  <c r="I22" i="1" s="1"/>
  <c r="J22" i="1" s="1"/>
  <c r="G9" i="1"/>
  <c r="I9" i="1" s="1"/>
  <c r="J9" i="1" s="1"/>
  <c r="P36" i="1"/>
  <c r="Q36" i="1" s="1"/>
  <c r="S36" i="1" s="1"/>
  <c r="T36" i="1" s="1"/>
  <c r="K36" i="1" s="1"/>
  <c r="G7" i="5"/>
  <c r="I7" i="5" s="1"/>
  <c r="J7" i="5" s="1"/>
  <c r="P35" i="1"/>
  <c r="Q35" i="1" s="1"/>
  <c r="S35" i="1" s="1"/>
  <c r="T35" i="1" s="1"/>
  <c r="K35" i="1" s="1"/>
  <c r="G8" i="5"/>
  <c r="I8" i="5" s="1"/>
  <c r="J8" i="5" s="1"/>
  <c r="P37" i="1"/>
  <c r="Q37" i="1" s="1"/>
  <c r="S37" i="1" s="1"/>
  <c r="T37" i="1" s="1"/>
  <c r="K37" i="1" s="1"/>
  <c r="G12" i="1"/>
  <c r="I12" i="1" s="1"/>
  <c r="J12" i="1" s="1"/>
  <c r="P39" i="1"/>
  <c r="Q39" i="1" s="1"/>
  <c r="S39" i="1" s="1"/>
  <c r="T39" i="1" s="1"/>
  <c r="K39" i="1" s="1"/>
  <c r="Q25" i="1"/>
  <c r="S25" i="1" s="1"/>
  <c r="T25" i="1" s="1"/>
  <c r="K25" i="1" s="1"/>
  <c r="G9" i="5"/>
  <c r="I9" i="5" s="1"/>
  <c r="J9" i="5" s="1"/>
  <c r="I6" i="5"/>
  <c r="J6" i="5" s="1"/>
  <c r="R8" i="5"/>
  <c r="N9" i="5"/>
  <c r="R7" i="5"/>
  <c r="P38" i="1"/>
  <c r="Q38" i="1" s="1"/>
  <c r="S38" i="1" s="1"/>
  <c r="T38" i="1" s="1"/>
  <c r="K38" i="1" s="1"/>
  <c r="P6" i="1"/>
  <c r="Q6" i="1" s="1"/>
  <c r="S6" i="1" s="1"/>
  <c r="G10" i="1"/>
  <c r="I10" i="1" s="1"/>
  <c r="J10" i="1" s="1"/>
  <c r="G11" i="1"/>
  <c r="I11" i="1" s="1"/>
  <c r="J11" i="1" s="1"/>
  <c r="G13" i="1"/>
  <c r="I13" i="1" s="1"/>
  <c r="J13" i="1" s="1"/>
  <c r="N7" i="1"/>
  <c r="P7" i="1" s="1"/>
  <c r="P7" i="5" l="1"/>
  <c r="Q7" i="5" s="1"/>
  <c r="S7" i="5" s="1"/>
  <c r="T7" i="5" s="1"/>
  <c r="K7" i="5" s="1"/>
  <c r="I33" i="5"/>
  <c r="J33" i="5" s="1"/>
  <c r="P32" i="5"/>
  <c r="Q32" i="5" s="1"/>
  <c r="S32" i="5" s="1"/>
  <c r="T32" i="5" s="1"/>
  <c r="K32" i="5" s="1"/>
  <c r="P9" i="5"/>
  <c r="Q9" i="5" s="1"/>
  <c r="G10" i="5"/>
  <c r="I10" i="5" s="1"/>
  <c r="J10" i="5" s="1"/>
  <c r="I20" i="5"/>
  <c r="J20" i="5" s="1"/>
  <c r="P33" i="5"/>
  <c r="Q33" i="5" s="1"/>
  <c r="S33" i="5" s="1"/>
  <c r="T33" i="5" s="1"/>
  <c r="K33" i="5" s="1"/>
  <c r="P8" i="5"/>
  <c r="Q8" i="5" s="1"/>
  <c r="S8" i="5" s="1"/>
  <c r="I22" i="5"/>
  <c r="J22" i="5" s="1"/>
  <c r="P34" i="5"/>
  <c r="Q34" i="5" s="1"/>
  <c r="S34" i="5" s="1"/>
  <c r="T34" i="5" s="1"/>
  <c r="K34" i="5" s="1"/>
  <c r="G12" i="5"/>
  <c r="I12" i="5" s="1"/>
  <c r="J12" i="5" s="1"/>
  <c r="I11" i="5"/>
  <c r="J11" i="5" s="1"/>
  <c r="I34" i="5"/>
  <c r="J34" i="5" s="1"/>
  <c r="P35" i="5"/>
  <c r="Q35" i="5" s="1"/>
  <c r="S35" i="5" s="1"/>
  <c r="T35" i="5" s="1"/>
  <c r="K35" i="5" s="1"/>
  <c r="I36" i="5"/>
  <c r="J36" i="5" s="1"/>
  <c r="P36" i="5"/>
  <c r="Q36" i="5" s="1"/>
  <c r="S36" i="5" s="1"/>
  <c r="T36" i="5" s="1"/>
  <c r="K36" i="5" s="1"/>
  <c r="N10" i="5"/>
  <c r="R9" i="5"/>
  <c r="T6" i="1"/>
  <c r="K6" i="1" s="1"/>
  <c r="Q7" i="1"/>
  <c r="R7" i="1"/>
  <c r="N8" i="1"/>
  <c r="P8" i="1" s="1"/>
  <c r="P10" i="5" l="1"/>
  <c r="Q10" i="5" s="1"/>
  <c r="P20" i="5"/>
  <c r="Q20" i="5" s="1"/>
  <c r="N20" i="5"/>
  <c r="R20" i="5" s="1"/>
  <c r="I24" i="5"/>
  <c r="J24" i="5" s="1"/>
  <c r="I25" i="5"/>
  <c r="J25" i="5" s="1"/>
  <c r="S9" i="5"/>
  <c r="T9" i="5" s="1"/>
  <c r="K9" i="5" s="1"/>
  <c r="T8" i="5"/>
  <c r="K8" i="5" s="1"/>
  <c r="R10" i="5"/>
  <c r="N11" i="5"/>
  <c r="S7" i="1"/>
  <c r="T7" i="1" s="1"/>
  <c r="Q8" i="1"/>
  <c r="N9" i="1"/>
  <c r="P9" i="1" s="1"/>
  <c r="R8" i="1"/>
  <c r="I28" i="1"/>
  <c r="J28" i="1" s="1"/>
  <c r="I27" i="1"/>
  <c r="J27" i="1" s="1"/>
  <c r="S20" i="5" l="1"/>
  <c r="T20" i="5" s="1"/>
  <c r="K20" i="5" s="1"/>
  <c r="P11" i="5"/>
  <c r="Q11" i="5" s="1"/>
  <c r="P21" i="5"/>
  <c r="Q21" i="5" s="1"/>
  <c r="N21" i="5"/>
  <c r="R21" i="5" s="1"/>
  <c r="N12" i="5"/>
  <c r="R11" i="5"/>
  <c r="S10" i="5"/>
  <c r="T10" i="5" s="1"/>
  <c r="K10" i="5" s="1"/>
  <c r="K7" i="1"/>
  <c r="N10" i="1"/>
  <c r="Q9" i="1"/>
  <c r="R9" i="1"/>
  <c r="S8" i="1"/>
  <c r="S21" i="5" l="1"/>
  <c r="T21" i="5" s="1"/>
  <c r="K21" i="5" s="1"/>
  <c r="K25" i="5" s="1"/>
  <c r="P12" i="5"/>
  <c r="Q12" i="5" s="1"/>
  <c r="P22" i="5"/>
  <c r="Q22" i="5" s="1"/>
  <c r="N22" i="5"/>
  <c r="R22" i="5" s="1"/>
  <c r="P10" i="1"/>
  <c r="Q10" i="1" s="1"/>
  <c r="R12" i="5"/>
  <c r="S11" i="5"/>
  <c r="T11" i="5" s="1"/>
  <c r="K11" i="5" s="1"/>
  <c r="T8" i="1"/>
  <c r="K8" i="1" s="1"/>
  <c r="R10" i="1"/>
  <c r="N11" i="1"/>
  <c r="N21" i="1" s="1"/>
  <c r="R21" i="1" s="1"/>
  <c r="S9" i="1"/>
  <c r="S22" i="5" l="1"/>
  <c r="T22" i="5" s="1"/>
  <c r="K22" i="5" s="1"/>
  <c r="K24" i="5" s="1"/>
  <c r="P21" i="1"/>
  <c r="Q21" i="1" s="1"/>
  <c r="S21" i="1" s="1"/>
  <c r="T21" i="1" s="1"/>
  <c r="K21" i="1" s="1"/>
  <c r="P11" i="1"/>
  <c r="Q11" i="1" s="1"/>
  <c r="S12" i="5"/>
  <c r="T12" i="5" s="1"/>
  <c r="K12" i="5" s="1"/>
  <c r="T9" i="1"/>
  <c r="K9" i="1" s="1"/>
  <c r="S10" i="1"/>
  <c r="T10" i="1" s="1"/>
  <c r="R11" i="1"/>
  <c r="N12" i="1"/>
  <c r="P22" i="1" s="1"/>
  <c r="Q22" i="1" s="1"/>
  <c r="N22" i="1" l="1"/>
  <c r="R22" i="1" s="1"/>
  <c r="S22" i="1" s="1"/>
  <c r="T22" i="1" s="1"/>
  <c r="K22" i="1" s="1"/>
  <c r="P12" i="1"/>
  <c r="Q12" i="1" s="1"/>
  <c r="K10" i="1"/>
  <c r="S11" i="1"/>
  <c r="T11" i="1" s="1"/>
  <c r="K11" i="1" s="1"/>
  <c r="N13" i="1"/>
  <c r="P23" i="1" s="1"/>
  <c r="Q23" i="1" s="1"/>
  <c r="R12" i="1"/>
  <c r="P13" i="1" l="1"/>
  <c r="Q13" i="1" s="1"/>
  <c r="N23" i="1"/>
  <c r="R23" i="1" s="1"/>
  <c r="S23" i="1" s="1"/>
  <c r="T23" i="1" s="1"/>
  <c r="K23" i="1" s="1"/>
  <c r="K28" i="1" s="1"/>
  <c r="N14" i="1"/>
  <c r="P14" i="1" s="1"/>
  <c r="R13" i="1"/>
  <c r="S12" i="1"/>
  <c r="T12" i="1" s="1"/>
  <c r="K12" i="1" s="1"/>
  <c r="P24" i="1" l="1"/>
  <c r="Q24" i="1" s="1"/>
  <c r="N24" i="1"/>
  <c r="R24" i="1" s="1"/>
  <c r="R14" i="1"/>
  <c r="Q14" i="1"/>
  <c r="S13" i="1"/>
  <c r="T13" i="1" s="1"/>
  <c r="K13" i="1" s="1"/>
  <c r="S24" i="1" l="1"/>
  <c r="T24" i="1" s="1"/>
  <c r="K24" i="1" s="1"/>
  <c r="K27" i="1" s="1"/>
  <c r="S14" i="1"/>
  <c r="T14" i="1" s="1"/>
  <c r="K14" i="1" s="1"/>
</calcChain>
</file>

<file path=xl/comments1.xml><?xml version="1.0" encoding="utf-8"?>
<comments xmlns="http://schemas.openxmlformats.org/spreadsheetml/2006/main">
  <authors>
    <author>Ian Timaeus</author>
  </authors>
  <commentList>
    <comment ref="G2" authorId="0">
      <text>
        <r>
          <rPr>
            <sz val="9"/>
            <color indexed="81"/>
            <rFont val="Tahoma"/>
            <family val="2"/>
          </rPr>
          <t>Pour utiliser une autre table type de mortalité, sélectionnez «Autre» (cellule D11) sur l'Introduction et entrez ses logits dans ces cellules.</t>
        </r>
      </text>
    </comment>
  </commentList>
</comments>
</file>

<file path=xl/comments2.xml><?xml version="1.0" encoding="utf-8"?>
<comments xmlns="http://schemas.openxmlformats.org/spreadsheetml/2006/main">
  <authors>
    <author>Ian Timaeus</author>
  </authors>
  <commentList>
    <comment ref="V6" authorId="0">
      <text>
        <r>
          <rPr>
            <sz val="9"/>
            <color indexed="81"/>
            <rFont val="Tahoma"/>
            <family val="2"/>
          </rPr>
          <t xml:space="preserve">N.B. Cette équation estime que </t>
        </r>
        <r>
          <rPr>
            <i/>
            <sz val="12"/>
            <color indexed="81"/>
            <rFont val="Times New Roman"/>
            <family val="1"/>
          </rPr>
          <t>l</t>
        </r>
        <r>
          <rPr>
            <sz val="9"/>
            <color indexed="81"/>
            <rFont val="Tahoma"/>
            <family val="2"/>
          </rPr>
          <t>(35+n+5)/</t>
        </r>
        <r>
          <rPr>
            <i/>
            <sz val="12"/>
            <color indexed="81"/>
            <rFont val="Times New Roman"/>
            <family val="1"/>
          </rPr>
          <t>l</t>
        </r>
        <r>
          <rPr>
            <sz val="9"/>
            <color indexed="81"/>
            <rFont val="Tahoma"/>
            <family val="2"/>
          </rPr>
          <t xml:space="preserve">(35),  et non pas </t>
        </r>
        <r>
          <rPr>
            <i/>
            <sz val="12"/>
            <color indexed="81"/>
            <rFont val="Times New Roman"/>
            <family val="1"/>
          </rPr>
          <t>l</t>
        </r>
        <r>
          <rPr>
            <sz val="9"/>
            <color indexed="81"/>
            <rFont val="Tahoma"/>
            <family val="2"/>
          </rPr>
          <t>(35+n)/</t>
        </r>
        <r>
          <rPr>
            <i/>
            <sz val="12"/>
            <color indexed="81"/>
            <rFont val="Times New Roman"/>
            <family val="1"/>
          </rPr>
          <t>l</t>
        </r>
        <r>
          <rPr>
            <sz val="9"/>
            <color indexed="81"/>
            <rFont val="Tahoma"/>
            <family val="2"/>
          </rPr>
          <t xml:space="preserve">(35). Il est adapté aux mêmes données que les équations dans le Timaeus (1992), mais il donne des estimations plus robustes que d'estimer </t>
        </r>
        <r>
          <rPr>
            <i/>
            <sz val="12"/>
            <color indexed="81"/>
            <rFont val="Times New Roman"/>
            <family val="1"/>
          </rPr>
          <t>l</t>
        </r>
        <r>
          <rPr>
            <sz val="9"/>
            <color indexed="81"/>
            <rFont val="Tahoma"/>
            <family val="2"/>
          </rPr>
          <t>(45)/</t>
        </r>
        <r>
          <rPr>
            <i/>
            <sz val="12"/>
            <color indexed="81"/>
            <rFont val="Times New Roman"/>
            <family val="1"/>
          </rPr>
          <t>l</t>
        </r>
        <r>
          <rPr>
            <sz val="9"/>
            <color indexed="81"/>
            <rFont val="Tahoma"/>
            <family val="2"/>
          </rPr>
          <t>(35) en utilisant l'équation publié.</t>
        </r>
      </text>
    </comment>
  </commentList>
</comments>
</file>

<file path=xl/sharedStrings.xml><?xml version="1.0" encoding="utf-8"?>
<sst xmlns="http://schemas.openxmlformats.org/spreadsheetml/2006/main" count="496" uniqueCount="163">
  <si>
    <t>Age</t>
  </si>
  <si>
    <t>15-19</t>
  </si>
  <si>
    <t>20-24</t>
  </si>
  <si>
    <t>25-29</t>
  </si>
  <si>
    <t>30-34</t>
  </si>
  <si>
    <t>35-39</t>
  </si>
  <si>
    <t>40-44</t>
  </si>
  <si>
    <t>45-49</t>
  </si>
  <si>
    <t>n</t>
  </si>
  <si>
    <t>50-54</t>
  </si>
  <si>
    <t>30-45</t>
  </si>
  <si>
    <t>30-40</t>
  </si>
  <si>
    <t>Date</t>
  </si>
  <si>
    <t xml:space="preserve"> 5- 9</t>
  </si>
  <si>
    <t>10-14</t>
  </si>
  <si>
    <t>Date of inquiry</t>
  </si>
  <si>
    <t>Proportion</t>
  </si>
  <si>
    <t>Standard</t>
  </si>
  <si>
    <t>N</t>
  </si>
  <si>
    <r>
      <rPr>
        <b/>
        <i/>
        <sz val="11"/>
        <rFont val="Arial Narrow"/>
        <family val="2"/>
      </rPr>
      <t>S</t>
    </r>
    <r>
      <rPr>
        <b/>
        <sz val="11"/>
        <rFont val="Arial Narrow"/>
        <family val="2"/>
      </rPr>
      <t>(</t>
    </r>
    <r>
      <rPr>
        <b/>
        <i/>
        <sz val="11"/>
        <rFont val="Arial Narrow"/>
        <family val="2"/>
      </rPr>
      <t>n</t>
    </r>
    <r>
      <rPr>
        <b/>
        <sz val="11"/>
        <rFont val="Arial Narrow"/>
        <family val="2"/>
      </rPr>
      <t>)</t>
    </r>
  </si>
  <si>
    <r>
      <rPr>
        <b/>
        <i/>
        <vertAlign val="subscript"/>
        <sz val="11"/>
        <rFont val="Arial Narrow"/>
        <family val="2"/>
      </rPr>
      <t>N</t>
    </r>
    <r>
      <rPr>
        <b/>
        <i/>
        <sz val="11"/>
        <rFont val="Arial Narrow"/>
        <family val="2"/>
      </rPr>
      <t>p</t>
    </r>
    <r>
      <rPr>
        <b/>
        <i/>
        <vertAlign val="subscript"/>
        <sz val="11"/>
        <rFont val="Arial Narrow"/>
        <family val="2"/>
      </rPr>
      <t>M</t>
    </r>
  </si>
  <si>
    <r>
      <rPr>
        <b/>
        <i/>
        <sz val="11"/>
        <rFont val="Arial Narrow"/>
        <family val="2"/>
      </rPr>
      <t>C</t>
    </r>
    <r>
      <rPr>
        <b/>
        <sz val="11"/>
        <rFont val="Arial Narrow"/>
        <family val="2"/>
      </rPr>
      <t>(</t>
    </r>
    <r>
      <rPr>
        <b/>
        <i/>
        <sz val="11"/>
        <rFont val="Arial Narrow"/>
        <family val="2"/>
      </rPr>
      <t>N</t>
    </r>
    <r>
      <rPr>
        <b/>
        <sz val="11"/>
        <rFont val="Arial Narrow"/>
        <family val="2"/>
      </rPr>
      <t>)</t>
    </r>
  </si>
  <si>
    <r>
      <rPr>
        <b/>
        <i/>
        <sz val="11"/>
        <rFont val="Arial Narrow"/>
        <family val="2"/>
      </rPr>
      <t>N</t>
    </r>
    <r>
      <rPr>
        <b/>
        <sz val="11"/>
        <rFont val="Arial Narrow"/>
        <family val="2"/>
      </rPr>
      <t>/2</t>
    </r>
  </si>
  <si>
    <t>T</t>
  </si>
  <si>
    <r>
      <rPr>
        <b/>
        <i/>
        <sz val="11"/>
        <rFont val="Arial Narrow"/>
        <family val="2"/>
      </rPr>
      <t>a</t>
    </r>
    <r>
      <rPr>
        <b/>
        <sz val="11"/>
        <rFont val="Arial Narrow"/>
        <family val="2"/>
      </rPr>
      <t>(</t>
    </r>
    <r>
      <rPr>
        <b/>
        <i/>
        <sz val="11"/>
        <rFont val="Arial Narrow"/>
        <family val="2"/>
      </rPr>
      <t>n</t>
    </r>
    <r>
      <rPr>
        <b/>
        <sz val="11"/>
        <rFont val="Arial Narrow"/>
        <family val="2"/>
      </rPr>
      <t>)</t>
    </r>
  </si>
  <si>
    <r>
      <rPr>
        <b/>
        <i/>
        <sz val="11"/>
        <rFont val="Arial Narrow"/>
        <family val="2"/>
      </rPr>
      <t>b</t>
    </r>
    <r>
      <rPr>
        <b/>
        <sz val="11"/>
        <rFont val="Arial Narrow"/>
        <family val="2"/>
      </rPr>
      <t>(</t>
    </r>
    <r>
      <rPr>
        <b/>
        <i/>
        <sz val="11"/>
        <rFont val="Arial Narrow"/>
        <family val="2"/>
      </rPr>
      <t>n</t>
    </r>
    <r>
      <rPr>
        <b/>
        <sz val="11"/>
        <rFont val="Arial Narrow"/>
        <family val="2"/>
      </rPr>
      <t>)</t>
    </r>
  </si>
  <si>
    <r>
      <rPr>
        <b/>
        <i/>
        <sz val="11"/>
        <rFont val="Arial Narrow"/>
        <family val="2"/>
      </rPr>
      <t>c</t>
    </r>
    <r>
      <rPr>
        <b/>
        <sz val="11"/>
        <rFont val="Arial Narrow"/>
        <family val="2"/>
      </rPr>
      <t>(</t>
    </r>
    <r>
      <rPr>
        <b/>
        <i/>
        <sz val="11"/>
        <rFont val="Arial Narrow"/>
        <family val="2"/>
      </rPr>
      <t>n</t>
    </r>
    <r>
      <rPr>
        <b/>
        <sz val="11"/>
        <rFont val="Arial Narrow"/>
        <family val="2"/>
      </rPr>
      <t>)</t>
    </r>
  </si>
  <si>
    <r>
      <rPr>
        <b/>
        <i/>
        <sz val="11"/>
        <rFont val="Arial Narrow"/>
        <family val="2"/>
      </rPr>
      <t>d</t>
    </r>
    <r>
      <rPr>
        <b/>
        <sz val="11"/>
        <rFont val="Arial Narrow"/>
        <family val="2"/>
      </rPr>
      <t>(</t>
    </r>
    <r>
      <rPr>
        <b/>
        <i/>
        <sz val="11"/>
        <rFont val="Arial Narrow"/>
        <family val="2"/>
      </rPr>
      <t>n</t>
    </r>
    <r>
      <rPr>
        <b/>
        <sz val="11"/>
        <rFont val="Arial Narrow"/>
        <family val="2"/>
      </rPr>
      <t>)</t>
    </r>
  </si>
  <si>
    <r>
      <rPr>
        <b/>
        <i/>
        <sz val="11"/>
        <rFont val="Arial Narrow"/>
        <family val="2"/>
      </rPr>
      <t>e</t>
    </r>
    <r>
      <rPr>
        <b/>
        <sz val="11"/>
        <rFont val="Arial Narrow"/>
        <family val="2"/>
      </rPr>
      <t>(</t>
    </r>
    <r>
      <rPr>
        <b/>
        <i/>
        <sz val="11"/>
        <rFont val="Arial Narrow"/>
        <family val="2"/>
      </rPr>
      <t>n</t>
    </r>
    <r>
      <rPr>
        <b/>
        <sz val="11"/>
        <rFont val="Arial Narrow"/>
        <family val="2"/>
      </rPr>
      <t>)</t>
    </r>
  </si>
  <si>
    <t>Total</t>
  </si>
  <si>
    <r>
      <rPr>
        <b/>
        <i/>
        <sz val="12"/>
        <rFont val="Times New Roman"/>
        <family val="1"/>
      </rPr>
      <t>l</t>
    </r>
    <r>
      <rPr>
        <b/>
        <i/>
        <vertAlign val="subscript"/>
        <sz val="11"/>
        <rFont val="Arial Narrow"/>
        <family val="2"/>
      </rPr>
      <t>s</t>
    </r>
    <r>
      <rPr>
        <b/>
        <sz val="11"/>
        <rFont val="Arial Narrow"/>
        <family val="2"/>
      </rPr>
      <t>(25+</t>
    </r>
    <r>
      <rPr>
        <b/>
        <i/>
        <sz val="11"/>
        <rFont val="Arial Narrow"/>
        <family val="2"/>
      </rPr>
      <t>n</t>
    </r>
    <r>
      <rPr>
        <b/>
        <sz val="11"/>
        <rFont val="Arial Narrow"/>
        <family val="2"/>
      </rPr>
      <t>)</t>
    </r>
  </si>
  <si>
    <t>α</t>
  </si>
  <si>
    <t xml:space="preserve"> 0- 4</t>
  </si>
  <si>
    <t>Egypt</t>
  </si>
  <si>
    <r>
      <rPr>
        <b/>
        <i/>
        <sz val="12"/>
        <rFont val="Times New Roman"/>
        <family val="1"/>
      </rPr>
      <t>l</t>
    </r>
    <r>
      <rPr>
        <b/>
        <i/>
        <vertAlign val="subscript"/>
        <sz val="11"/>
        <rFont val="Arial Narrow"/>
        <family val="2"/>
      </rPr>
      <t>s</t>
    </r>
    <r>
      <rPr>
        <b/>
        <sz val="11"/>
        <rFont val="Arial Narrow"/>
        <family val="2"/>
      </rPr>
      <t>(45)</t>
    </r>
  </si>
  <si>
    <r>
      <rPr>
        <b/>
        <i/>
        <u/>
        <sz val="12"/>
        <rFont val="Times New Roman"/>
        <family val="1"/>
      </rPr>
      <t>l</t>
    </r>
    <r>
      <rPr>
        <b/>
        <u/>
        <sz val="11"/>
        <rFont val="Arial Narrow"/>
        <family val="2"/>
      </rPr>
      <t>(35+n)</t>
    </r>
  </si>
  <si>
    <r>
      <rPr>
        <b/>
        <i/>
        <sz val="12"/>
        <color indexed="8"/>
        <rFont val="Times New Roman"/>
        <family val="1"/>
      </rPr>
      <t>l</t>
    </r>
    <r>
      <rPr>
        <b/>
        <sz val="11"/>
        <color indexed="8"/>
        <rFont val="Arial Narrow"/>
        <family val="2"/>
      </rPr>
      <t>(35)</t>
    </r>
  </si>
  <si>
    <r>
      <rPr>
        <b/>
        <i/>
        <sz val="12"/>
        <rFont val="Times New Roman"/>
        <family val="1"/>
      </rPr>
      <t>l</t>
    </r>
    <r>
      <rPr>
        <b/>
        <i/>
        <vertAlign val="subscript"/>
        <sz val="11"/>
        <rFont val="Arial Narrow"/>
        <family val="2"/>
      </rPr>
      <t>s</t>
    </r>
    <r>
      <rPr>
        <b/>
        <sz val="11"/>
        <rFont val="Arial Narrow"/>
        <family val="2"/>
      </rPr>
      <t>(35+</t>
    </r>
    <r>
      <rPr>
        <b/>
        <i/>
        <sz val="11"/>
        <rFont val="Arial Narrow"/>
        <family val="2"/>
      </rPr>
      <t>n</t>
    </r>
    <r>
      <rPr>
        <b/>
        <sz val="11"/>
        <rFont val="Arial Narrow"/>
        <family val="2"/>
      </rPr>
      <t>)</t>
    </r>
  </si>
  <si>
    <t xml:space="preserve"> 5 - 9</t>
  </si>
  <si>
    <r>
      <rPr>
        <b/>
        <i/>
        <u/>
        <sz val="12"/>
        <rFont val="Times New Roman"/>
        <family val="1"/>
      </rPr>
      <t>l</t>
    </r>
    <r>
      <rPr>
        <b/>
        <u/>
        <sz val="11"/>
        <rFont val="Arial Narrow"/>
        <family val="2"/>
      </rPr>
      <t>(45)</t>
    </r>
  </si>
  <si>
    <r>
      <rPr>
        <b/>
        <i/>
        <u/>
        <sz val="12"/>
        <rFont val="Times New Roman"/>
        <family val="1"/>
      </rPr>
      <t>l</t>
    </r>
    <r>
      <rPr>
        <b/>
        <u/>
        <sz val="11"/>
        <rFont val="Arial Narrow"/>
        <family val="2"/>
      </rPr>
      <t>(55)</t>
    </r>
  </si>
  <si>
    <r>
      <rPr>
        <b/>
        <i/>
        <sz val="12"/>
        <color indexed="8"/>
        <rFont val="Times New Roman"/>
        <family val="1"/>
      </rPr>
      <t>l</t>
    </r>
    <r>
      <rPr>
        <b/>
        <sz val="11"/>
        <color indexed="8"/>
        <rFont val="Arial Narrow"/>
        <family val="2"/>
      </rPr>
      <t>(45)</t>
    </r>
  </si>
  <si>
    <r>
      <rPr>
        <b/>
        <i/>
        <sz val="12"/>
        <color indexed="8"/>
        <rFont val="Times New Roman"/>
        <family val="1"/>
      </rPr>
      <t>l</t>
    </r>
    <r>
      <rPr>
        <b/>
        <sz val="11"/>
        <color indexed="8"/>
        <rFont val="Arial Narrow"/>
        <family val="2"/>
      </rPr>
      <t>(25)</t>
    </r>
  </si>
  <si>
    <r>
      <rPr>
        <b/>
        <i/>
        <sz val="12"/>
        <color indexed="8"/>
        <rFont val="Times New Roman"/>
        <family val="1"/>
      </rPr>
      <t>l</t>
    </r>
    <r>
      <rPr>
        <b/>
        <sz val="11"/>
        <color indexed="8"/>
        <rFont val="Arial Narrow"/>
        <family val="2"/>
      </rPr>
      <t>(55)</t>
    </r>
  </si>
  <si>
    <r>
      <rPr>
        <sz val="10"/>
        <rFont val="Calibri"/>
        <family val="2"/>
      </rPr>
      <t>α</t>
    </r>
    <r>
      <rPr>
        <sz val="10"/>
        <rFont val="Arial"/>
        <family val="2"/>
      </rPr>
      <t xml:space="preserve"> =</t>
    </r>
  </si>
  <si>
    <r>
      <rPr>
        <sz val="10"/>
        <rFont val="Calibri"/>
        <family val="2"/>
      </rPr>
      <t>β</t>
    </r>
    <r>
      <rPr>
        <sz val="10"/>
        <rFont val="Arial"/>
        <family val="2"/>
      </rPr>
      <t xml:space="preserve"> =</t>
    </r>
  </si>
  <si>
    <r>
      <rPr>
        <b/>
        <i/>
        <sz val="11"/>
        <rFont val="Arial Narrow"/>
        <family val="2"/>
      </rPr>
      <t>e</t>
    </r>
    <r>
      <rPr>
        <b/>
        <vertAlign val="subscript"/>
        <sz val="11"/>
        <rFont val="Arial Narrow"/>
        <family val="2"/>
      </rPr>
      <t>0</t>
    </r>
    <r>
      <rPr>
        <b/>
        <sz val="11"/>
        <rFont val="Arial Narrow"/>
        <family val="2"/>
      </rPr>
      <t xml:space="preserve"> = 60</t>
    </r>
  </si>
  <si>
    <r>
      <rPr>
        <b/>
        <i/>
        <sz val="11"/>
        <rFont val="Arial Narrow"/>
        <family val="2"/>
      </rPr>
      <t>Y</t>
    </r>
    <r>
      <rPr>
        <b/>
        <vertAlign val="subscript"/>
        <sz val="11"/>
        <rFont val="Arial Narrow"/>
        <family val="2"/>
      </rPr>
      <t>s</t>
    </r>
    <r>
      <rPr>
        <b/>
        <sz val="11"/>
        <rFont val="Arial Narrow"/>
        <family val="2"/>
      </rPr>
      <t>(</t>
    </r>
    <r>
      <rPr>
        <b/>
        <i/>
        <sz val="11"/>
        <rFont val="Arial Narrow"/>
        <family val="2"/>
      </rPr>
      <t>x</t>
    </r>
    <r>
      <rPr>
        <b/>
        <sz val="11"/>
        <rFont val="Arial Narrow"/>
        <family val="2"/>
      </rPr>
      <t>)</t>
    </r>
  </si>
  <si>
    <r>
      <rPr>
        <b/>
        <i/>
        <sz val="11"/>
        <rFont val="Arial Narrow"/>
        <family val="2"/>
      </rPr>
      <t>Y</t>
    </r>
    <r>
      <rPr>
        <b/>
        <sz val="11"/>
        <rFont val="Arial Narrow"/>
        <family val="2"/>
      </rPr>
      <t>(</t>
    </r>
    <r>
      <rPr>
        <b/>
        <i/>
        <sz val="11"/>
        <rFont val="Arial Narrow"/>
        <family val="2"/>
      </rPr>
      <t>x</t>
    </r>
    <r>
      <rPr>
        <b/>
        <sz val="11"/>
        <rFont val="Arial Narrow"/>
        <family val="2"/>
      </rPr>
      <t>)</t>
    </r>
  </si>
  <si>
    <r>
      <rPr>
        <b/>
        <i/>
        <sz val="12"/>
        <rFont val="Times New Roman"/>
        <family val="1"/>
      </rPr>
      <t>l</t>
    </r>
    <r>
      <rPr>
        <b/>
        <sz val="11"/>
        <rFont val="Arial Narrow"/>
        <family val="2"/>
      </rPr>
      <t>(</t>
    </r>
    <r>
      <rPr>
        <b/>
        <i/>
        <sz val="11"/>
        <rFont val="Arial Narrow"/>
        <family val="2"/>
      </rPr>
      <t>x</t>
    </r>
    <r>
      <rPr>
        <b/>
        <sz val="11"/>
        <rFont val="Arial Narrow"/>
        <family val="2"/>
      </rPr>
      <t>)</t>
    </r>
  </si>
  <si>
    <r>
      <rPr>
        <b/>
        <i/>
        <sz val="12"/>
        <rFont val="Times New Roman"/>
        <family val="1"/>
      </rPr>
      <t>l</t>
    </r>
    <r>
      <rPr>
        <b/>
        <i/>
        <vertAlign val="subscript"/>
        <sz val="11"/>
        <rFont val="Arial Narrow"/>
        <family val="2"/>
      </rPr>
      <t>s</t>
    </r>
    <r>
      <rPr>
        <b/>
        <sz val="11"/>
        <rFont val="Arial Narrow"/>
        <family val="2"/>
      </rPr>
      <t>(55)</t>
    </r>
  </si>
  <si>
    <t>Version 1.0 Date: 8/11/2011</t>
  </si>
  <si>
    <t>30q30</t>
  </si>
  <si>
    <r>
      <rPr>
        <b/>
        <i/>
        <sz val="11"/>
        <rFont val="Arial Narrow"/>
        <family val="2"/>
      </rPr>
      <t>B</t>
    </r>
    <r>
      <rPr>
        <b/>
        <sz val="11"/>
        <rFont val="Arial Narrow"/>
        <family val="2"/>
      </rPr>
      <t>(</t>
    </r>
    <r>
      <rPr>
        <b/>
        <i/>
        <sz val="11"/>
        <rFont val="Arial Narrow"/>
        <family val="2"/>
      </rPr>
      <t>i</t>
    </r>
    <r>
      <rPr>
        <b/>
        <sz val="11"/>
        <rFont val="Arial Narrow"/>
        <family val="2"/>
      </rPr>
      <t>)</t>
    </r>
  </si>
  <si>
    <r>
      <rPr>
        <b/>
        <i/>
        <sz val="11"/>
        <rFont val="Arial Narrow"/>
        <family val="2"/>
      </rPr>
      <t>B</t>
    </r>
    <r>
      <rPr>
        <b/>
        <sz val="11"/>
        <rFont val="Arial Narrow"/>
        <family val="2"/>
      </rPr>
      <t>(</t>
    </r>
    <r>
      <rPr>
        <b/>
        <i/>
        <sz val="11"/>
        <rFont val="Arial Narrow"/>
        <family val="2"/>
      </rPr>
      <t>i</t>
    </r>
    <r>
      <rPr>
        <b/>
        <sz val="11"/>
        <rFont val="Arial Narrow"/>
        <family val="2"/>
      </rPr>
      <t>)*</t>
    </r>
    <r>
      <rPr>
        <b/>
        <i/>
        <sz val="11"/>
        <rFont val="Arial Narrow"/>
        <family val="2"/>
      </rPr>
      <t>N</t>
    </r>
  </si>
  <si>
    <r>
      <t>M</t>
    </r>
    <r>
      <rPr>
        <b/>
        <i/>
        <vertAlign val="superscript"/>
        <sz val="12"/>
        <rFont val="Arial Narrow"/>
        <family val="2"/>
      </rPr>
      <t>f</t>
    </r>
    <r>
      <rPr>
        <b/>
        <i/>
        <sz val="12"/>
        <rFont val="Arial Narrow"/>
        <family val="2"/>
      </rPr>
      <t xml:space="preserve"> = </t>
    </r>
  </si>
  <si>
    <t>Age difference</t>
  </si>
  <si>
    <t>Married men</t>
  </si>
  <si>
    <t>Married women</t>
  </si>
  <si>
    <t xml:space="preserve"> Cum. % of marr. men</t>
  </si>
  <si>
    <t xml:space="preserve"> Cum. % of marr. wom.</t>
  </si>
  <si>
    <t>Instructions</t>
  </si>
  <si>
    <t>1)</t>
  </si>
  <si>
    <t>2)</t>
  </si>
  <si>
    <t>3)</t>
  </si>
  <si>
    <t>4)</t>
  </si>
  <si>
    <t>5)</t>
  </si>
  <si>
    <t>6)</t>
  </si>
  <si>
    <t>7)</t>
  </si>
  <si>
    <t>8)</t>
  </si>
  <si>
    <t>9)</t>
  </si>
  <si>
    <t>10)</t>
  </si>
  <si>
    <t>11)</t>
  </si>
  <si>
    <t>Group</t>
  </si>
  <si>
    <t>Age group</t>
  </si>
  <si>
    <t>55-59</t>
  </si>
  <si>
    <t>60-64</t>
  </si>
  <si>
    <t>65-69</t>
  </si>
  <si>
    <t>70-74</t>
  </si>
  <si>
    <t>75-79</t>
  </si>
  <si>
    <t>80+</t>
  </si>
  <si>
    <t xml:space="preserve">Calculation of the median ages of the married </t>
  </si>
  <si>
    <t xml:space="preserve">Calculation of the mean age at childbearing </t>
  </si>
  <si>
    <r>
      <rPr>
        <b/>
        <i/>
        <sz val="10"/>
        <color theme="9" tint="-0.499984740745262"/>
        <rFont val="Arial"/>
        <family val="2"/>
      </rPr>
      <t>M</t>
    </r>
    <r>
      <rPr>
        <b/>
        <sz val="10"/>
        <color theme="9" tint="-0.499984740745262"/>
        <rFont val="Arial"/>
        <family val="2"/>
      </rPr>
      <t xml:space="preserve"> =</t>
    </r>
  </si>
  <si>
    <r>
      <t>M</t>
    </r>
    <r>
      <rPr>
        <b/>
        <i/>
        <vertAlign val="superscript"/>
        <sz val="12"/>
        <color theme="9" tint="-0.499984740745262"/>
        <rFont val="Arial Narrow"/>
        <family val="2"/>
      </rPr>
      <t>m</t>
    </r>
    <r>
      <rPr>
        <b/>
        <i/>
        <sz val="12"/>
        <color theme="9" tint="-0.499984740745262"/>
        <rFont val="Arial Narrow"/>
        <family val="2"/>
      </rPr>
      <t xml:space="preserve"> = </t>
    </r>
  </si>
  <si>
    <t>Estimation de la mortalité adulte à partir des proportions d'orphelins avant et après le 1er mariage</t>
  </si>
  <si>
    <t>Cette méthode est présentée dans :</t>
  </si>
  <si>
    <t>Saisie des données :</t>
  </si>
  <si>
    <t xml:space="preserve">Saisir le nom du pays ou de la population, à droite de cette cellule </t>
  </si>
  <si>
    <t>Choisir l'indice résumé de mortalité adulte que vous souhaitez faire apparaître dans les tableaux et graphiques, en utilisant le menu déroulant à droite de cette cellule.</t>
  </si>
  <si>
    <t>Saisir la date moyenne d'interview ou le point médian de la période où a été réalisé le travail de terrain, à droite de cette cellule.</t>
  </si>
  <si>
    <r>
      <t xml:space="preserve">Si vous avez des données sur les nombres de répondants  et le nombre de ceux dont la mère est en vie par groupe d'âge, collez les dans les cellules </t>
    </r>
    <r>
      <rPr>
        <b/>
        <sz val="12"/>
        <rFont val="Arial"/>
        <family val="2"/>
      </rPr>
      <t>B6:C14</t>
    </r>
    <r>
      <rPr>
        <sz val="12"/>
        <rFont val="Arial"/>
        <family val="2"/>
      </rPr>
      <t xml:space="preserve">  de la feuille </t>
    </r>
    <r>
      <rPr>
        <b/>
        <i/>
        <sz val="12"/>
        <rFont val="Arial"/>
        <family val="2"/>
      </rPr>
      <t>Orphelins de mère</t>
    </r>
    <r>
      <rPr>
        <sz val="12"/>
        <rFont val="Arial"/>
        <family val="2"/>
      </rPr>
      <t>. Les nombres de répondants doivent exclure ceux qui ne savent pas si leur mère est en vie ou qui ne répondent pas à la question.</t>
    </r>
  </si>
  <si>
    <t>OU</t>
  </si>
  <si>
    <r>
      <t xml:space="preserve">Si vous avez des données sur les proportions de répondants dont la mère est en vie par groupe d'âge, collez les dans les cellules </t>
    </r>
    <r>
      <rPr>
        <b/>
        <sz val="12"/>
        <rFont val="Arial"/>
        <family val="2"/>
      </rPr>
      <t>D6:D14</t>
    </r>
    <r>
      <rPr>
        <sz val="12"/>
        <rFont val="Arial"/>
        <family val="2"/>
      </rPr>
      <t xml:space="preserve"> de la feuille </t>
    </r>
    <r>
      <rPr>
        <b/>
        <i/>
        <sz val="12"/>
        <rFont val="Arial"/>
        <family val="2"/>
      </rPr>
      <t>Orphelins de mère</t>
    </r>
    <r>
      <rPr>
        <sz val="12"/>
        <rFont val="Arial"/>
        <family val="2"/>
      </rPr>
      <t xml:space="preserve">.  Si elles sont exprimées en pourcentages, divisez les par 100 avant de les coller. </t>
    </r>
  </si>
  <si>
    <r>
      <t xml:space="preserve">Saisir de même les nombres de répondants dont la mère était en vie lors de leur 1er mariage et dont la mère est encore en vie par groupe d'âge dans les cellules </t>
    </r>
    <r>
      <rPr>
        <b/>
        <sz val="12"/>
        <rFont val="Arial"/>
        <family val="2"/>
      </rPr>
      <t>B21:C26</t>
    </r>
    <r>
      <rPr>
        <sz val="12"/>
        <rFont val="Arial"/>
        <family val="2"/>
      </rPr>
      <t xml:space="preserve"> de la feuille </t>
    </r>
    <r>
      <rPr>
        <b/>
        <i/>
        <sz val="12"/>
        <rFont val="Arial"/>
        <family val="2"/>
      </rPr>
      <t>Orphelins de mère</t>
    </r>
    <r>
      <rPr>
        <sz val="12"/>
        <rFont val="Arial"/>
        <family val="2"/>
      </rPr>
      <t xml:space="preserve"> ou les proportions de mères survivantes entre le moment où les répondants se sont mariés et l'enquête dans les cellules </t>
    </r>
    <r>
      <rPr>
        <b/>
        <sz val="12"/>
        <rFont val="Arial"/>
        <family val="2"/>
      </rPr>
      <t>D21:D26</t>
    </r>
    <r>
      <rPr>
        <sz val="12"/>
        <rFont val="Arial"/>
        <family val="2"/>
      </rPr>
      <t xml:space="preserve">. Saisir ensuite les nombres de répondants et ceux dont la mère était en vie au moment de leur 1er mariage dans les cellules </t>
    </r>
    <r>
      <rPr>
        <b/>
        <sz val="12"/>
        <rFont val="Arial"/>
        <family val="2"/>
      </rPr>
      <t>B35:C39</t>
    </r>
    <r>
      <rPr>
        <sz val="12"/>
        <rFont val="Arial"/>
        <family val="2"/>
      </rPr>
      <t xml:space="preserve"> ou les proportions de mères survivantes entre le moment où les répondants se sont mariés et l'enquête dans les cellules </t>
    </r>
    <r>
      <rPr>
        <b/>
        <sz val="12"/>
        <rFont val="Arial"/>
        <family val="2"/>
      </rPr>
      <t>D35:D39</t>
    </r>
    <r>
      <rPr>
        <sz val="12"/>
        <rFont val="Arial"/>
        <family val="2"/>
      </rPr>
      <t xml:space="preserve">. (N.B. du fait des non réponses, les nombres dans les cellules </t>
    </r>
    <r>
      <rPr>
        <b/>
        <sz val="12"/>
        <rFont val="Arial"/>
        <family val="2"/>
      </rPr>
      <t>C21:C25</t>
    </r>
    <r>
      <rPr>
        <sz val="12"/>
        <rFont val="Arial"/>
        <family val="2"/>
      </rPr>
      <t xml:space="preserve"> peuvent différer de ceux dans les cellules </t>
    </r>
    <r>
      <rPr>
        <b/>
        <sz val="12"/>
        <rFont val="Arial"/>
        <family val="2"/>
      </rPr>
      <t>C10:C14</t>
    </r>
    <r>
      <rPr>
        <sz val="12"/>
        <rFont val="Arial"/>
        <family val="2"/>
      </rPr>
      <t xml:space="preserve"> et ceux dans les cellules </t>
    </r>
    <r>
      <rPr>
        <b/>
        <sz val="12"/>
        <rFont val="Arial"/>
        <family val="2"/>
      </rPr>
      <t>B35:B39</t>
    </r>
    <r>
      <rPr>
        <sz val="12"/>
        <rFont val="Arial"/>
        <family val="2"/>
      </rPr>
      <t xml:space="preserve"> peuvent différer de ceux dans les cellules </t>
    </r>
    <r>
      <rPr>
        <b/>
        <sz val="12"/>
        <rFont val="Arial"/>
        <family val="2"/>
      </rPr>
      <t>B10:B14</t>
    </r>
    <r>
      <rPr>
        <sz val="12"/>
        <rFont val="Arial"/>
        <family val="2"/>
      </rPr>
      <t>).</t>
    </r>
  </si>
  <si>
    <r>
      <t xml:space="preserve">Si vous avez des données sur les nombres de répondants  et le nombre de ceux dont le père est en vie par groupe d'âge, collez les dans les cellules </t>
    </r>
    <r>
      <rPr>
        <b/>
        <sz val="12"/>
        <rFont val="Arial"/>
        <family val="2"/>
      </rPr>
      <t>B6:C13</t>
    </r>
    <r>
      <rPr>
        <sz val="12"/>
        <rFont val="Arial"/>
        <family val="2"/>
      </rPr>
      <t xml:space="preserve">  de la feuille </t>
    </r>
    <r>
      <rPr>
        <b/>
        <i/>
        <sz val="12"/>
        <rFont val="Arial"/>
        <family val="2"/>
      </rPr>
      <t>Orphelins de père</t>
    </r>
    <r>
      <rPr>
        <sz val="12"/>
        <rFont val="Arial"/>
        <family val="2"/>
      </rPr>
      <t>. Les nombres de répondants doivent exclure ceux qui ne savent pas si leur père est en vie ou qui ne répondent pas à la question.</t>
    </r>
  </si>
  <si>
    <r>
      <t xml:space="preserve">Si vous avez des données sur les proportions de répondants dont le père est en vie par groupe d'âge, collez les dans les cellules </t>
    </r>
    <r>
      <rPr>
        <b/>
        <sz val="12"/>
        <rFont val="Arial"/>
        <family val="2"/>
      </rPr>
      <t>D6:D13</t>
    </r>
    <r>
      <rPr>
        <sz val="12"/>
        <rFont val="Arial"/>
        <family val="2"/>
      </rPr>
      <t xml:space="preserve"> de la feuille </t>
    </r>
    <r>
      <rPr>
        <b/>
        <i/>
        <sz val="12"/>
        <rFont val="Arial"/>
        <family val="2"/>
      </rPr>
      <t>Orphelins de père</t>
    </r>
    <r>
      <rPr>
        <sz val="12"/>
        <rFont val="Arial"/>
        <family val="2"/>
      </rPr>
      <t xml:space="preserve">.  Si elles sont exprimées en pourcentages, divisez les par 100 avant de les coller. </t>
    </r>
  </si>
  <si>
    <r>
      <t xml:space="preserve">Saisir de même les nombres de répondants dont le père était en vie lors de leur 1er mariage et dont le père est encore en vie par groupe d'âge dans les cellules </t>
    </r>
    <r>
      <rPr>
        <b/>
        <sz val="12"/>
        <rFont val="Arial"/>
        <family val="2"/>
      </rPr>
      <t>B20:C23</t>
    </r>
    <r>
      <rPr>
        <sz val="12"/>
        <rFont val="Arial"/>
        <family val="2"/>
      </rPr>
      <t xml:space="preserve"> de la feuille </t>
    </r>
    <r>
      <rPr>
        <b/>
        <i/>
        <sz val="12"/>
        <rFont val="Arial"/>
        <family val="2"/>
      </rPr>
      <t>Orphelins de père</t>
    </r>
    <r>
      <rPr>
        <sz val="12"/>
        <rFont val="Arial"/>
        <family val="2"/>
      </rPr>
      <t xml:space="preserve"> ou les proportions de pères survivants entre le moment où les répondants se sont mariés et l'enquête dans les cellules </t>
    </r>
    <r>
      <rPr>
        <b/>
        <sz val="12"/>
        <rFont val="Arial"/>
        <family val="2"/>
      </rPr>
      <t>D20:D23</t>
    </r>
    <r>
      <rPr>
        <sz val="12"/>
        <rFont val="Arial"/>
        <family val="2"/>
      </rPr>
      <t xml:space="preserve">.  Saisir ensuite les nombres de répondants et ceux dont le père était en vie au moment de leur 1er mariage dans les cellules </t>
    </r>
    <r>
      <rPr>
        <b/>
        <sz val="12"/>
        <rFont val="Arial"/>
        <family val="2"/>
      </rPr>
      <t>B32:C36</t>
    </r>
    <r>
      <rPr>
        <sz val="12"/>
        <rFont val="Arial"/>
        <family val="2"/>
      </rPr>
      <t xml:space="preserve"> ou les proportions de pères survivants entre le moment où les répondants se sont mariés et l'enquête dans les cellules </t>
    </r>
    <r>
      <rPr>
        <b/>
        <sz val="12"/>
        <rFont val="Arial"/>
        <family val="2"/>
      </rPr>
      <t>D32:D36</t>
    </r>
    <r>
      <rPr>
        <sz val="12"/>
        <rFont val="Arial"/>
        <family val="2"/>
      </rPr>
      <t xml:space="preserve">. (N.B. du fait des non réponses, les nombres dans les cellules </t>
    </r>
    <r>
      <rPr>
        <b/>
        <sz val="12"/>
        <rFont val="Arial"/>
        <family val="2"/>
      </rPr>
      <t>C20:C23</t>
    </r>
    <r>
      <rPr>
        <sz val="12"/>
        <rFont val="Arial"/>
        <family val="2"/>
      </rPr>
      <t xml:space="preserve"> peuvent différer de ceux dans les cellules </t>
    </r>
    <r>
      <rPr>
        <b/>
        <sz val="12"/>
        <rFont val="Arial"/>
        <family val="2"/>
      </rPr>
      <t>C10:C13</t>
    </r>
    <r>
      <rPr>
        <sz val="12"/>
        <rFont val="Arial"/>
        <family val="2"/>
      </rPr>
      <t xml:space="preserve"> et ceux dans les cellules </t>
    </r>
    <r>
      <rPr>
        <b/>
        <sz val="12"/>
        <rFont val="Arial"/>
        <family val="2"/>
      </rPr>
      <t>B32:B35</t>
    </r>
    <r>
      <rPr>
        <sz val="12"/>
        <rFont val="Arial"/>
        <family val="2"/>
      </rPr>
      <t xml:space="preserve"> peuvent différer de ceux dans les cellules </t>
    </r>
    <r>
      <rPr>
        <b/>
        <sz val="12"/>
        <rFont val="Arial"/>
        <family val="2"/>
      </rPr>
      <t>B10:B13</t>
    </r>
    <r>
      <rPr>
        <sz val="12"/>
        <rFont val="Arial"/>
        <family val="2"/>
      </rPr>
      <t>).</t>
    </r>
  </si>
  <si>
    <r>
      <t xml:space="preserve">Pour calculer l'âge moyen des femmes à la naissance de leurs enfants, collez le nombre de naissances dans l'année avant l'enquête dans les cellules </t>
    </r>
    <r>
      <rPr>
        <b/>
        <sz val="12"/>
        <rFont val="Arial"/>
        <family val="2"/>
      </rPr>
      <t>C47:C53</t>
    </r>
    <r>
      <rPr>
        <sz val="12"/>
        <rFont val="Arial"/>
        <family val="2"/>
      </rPr>
      <t xml:space="preserve"> de la feuille </t>
    </r>
    <r>
      <rPr>
        <b/>
        <i/>
        <sz val="12"/>
        <rFont val="Arial"/>
        <family val="2"/>
      </rPr>
      <t>Orphelins de mère</t>
    </r>
    <r>
      <rPr>
        <sz val="12"/>
        <rFont val="Arial"/>
        <family val="2"/>
      </rPr>
      <t xml:space="preserve">. Par défaut, on suppose que les naissances sont classées par âge des femmes à l'interview, non par âge à l'accouchement mais il y a une option pour modifier cela. </t>
    </r>
  </si>
  <si>
    <r>
      <t xml:space="preserve">Pour estimer l'âge moyen des pères à la naissance de leurs enfants, saisir les nombres d'hommes et femmes actuellement mariés par groupe d'âge dans les cellules </t>
    </r>
    <r>
      <rPr>
        <b/>
        <sz val="12"/>
        <rFont val="Arial"/>
        <family val="2"/>
      </rPr>
      <t>B47:C61</t>
    </r>
    <r>
      <rPr>
        <sz val="12"/>
        <rFont val="Arial"/>
        <family val="2"/>
      </rPr>
      <t xml:space="preserve"> de la feuille </t>
    </r>
    <r>
      <rPr>
        <b/>
        <i/>
        <sz val="12"/>
        <rFont val="Arial"/>
        <family val="2"/>
      </rPr>
      <t>Orphelins de père</t>
    </r>
    <r>
      <rPr>
        <sz val="12"/>
        <rFont val="Arial"/>
        <family val="2"/>
      </rPr>
      <t>. Ces données sont utilisées pour calculer les âges médians des personnes actuellement mariées et doivent inclure tous les individus mariés de tout âge, mais vous pouvez insérer des données avec un groupe d'âge ouvert, dont l'âge initial dépasse ces médianes, lequelles ont peu de chances de dépasser 45 ans.</t>
    </r>
  </si>
  <si>
    <r>
      <t xml:space="preserve">Saisir les estimations de l'âge moyen des répondants au 1er mariage (ou à la 1ère naissance) dans les cellules </t>
    </r>
    <r>
      <rPr>
        <b/>
        <sz val="12"/>
        <rFont val="Arial"/>
        <family val="2"/>
      </rPr>
      <t>E35:E40</t>
    </r>
    <r>
      <rPr>
        <sz val="12"/>
        <rFont val="Arial"/>
        <family val="2"/>
      </rPr>
      <t xml:space="preserve"> de la feuille </t>
    </r>
    <r>
      <rPr>
        <b/>
        <i/>
        <sz val="12"/>
        <rFont val="Arial"/>
        <family val="2"/>
      </rPr>
      <t>Orphelins de mère</t>
    </r>
    <r>
      <rPr>
        <sz val="12"/>
        <rFont val="Arial"/>
        <family val="2"/>
      </rPr>
      <t xml:space="preserve"> et dans les cellules </t>
    </r>
    <r>
      <rPr>
        <b/>
        <sz val="12"/>
        <rFont val="Arial"/>
        <family val="2"/>
      </rPr>
      <t>E32:E36</t>
    </r>
    <r>
      <rPr>
        <sz val="12"/>
        <rFont val="Arial"/>
        <family val="2"/>
      </rPr>
      <t xml:space="preserve"> de la feuille </t>
    </r>
    <r>
      <rPr>
        <b/>
        <i/>
        <sz val="12"/>
        <rFont val="Arial"/>
        <family val="2"/>
      </rPr>
      <t>Orphelins de père</t>
    </r>
    <r>
      <rPr>
        <sz val="12"/>
        <rFont val="Arial"/>
        <family val="2"/>
      </rPr>
      <t xml:space="preserve">.  Il se peut que ces âges moyens aient augmenté fortement; les estimations se doivent d'être à peu près correctes pour chaque cohorte de répondants. </t>
    </r>
  </si>
  <si>
    <t>Logits des tables-types de mortalité e0=60, sexes réunis</t>
  </si>
  <si>
    <t>NU Général</t>
  </si>
  <si>
    <t>Princeton Est</t>
  </si>
  <si>
    <t>Princeton Nord</t>
  </si>
  <si>
    <t>Princeton Sud</t>
  </si>
  <si>
    <t>Princeton Ouest</t>
  </si>
  <si>
    <t>Autre</t>
  </si>
  <si>
    <t>Table de mortalité standard</t>
  </si>
  <si>
    <t>modifié</t>
  </si>
  <si>
    <t>Modifié</t>
  </si>
  <si>
    <t>Estimation de la mortalité adulte à partir des proportions d'orphelins</t>
  </si>
  <si>
    <t>Date de l'enquête</t>
  </si>
  <si>
    <t xml:space="preserve">Femmes avant le mariage </t>
  </si>
  <si>
    <t>Age moyen à la naissance des enfants</t>
  </si>
  <si>
    <t>Probabilité</t>
  </si>
  <si>
    <t>Groupe</t>
  </si>
  <si>
    <t>Mère</t>
  </si>
  <si>
    <r>
      <rPr>
        <b/>
        <i/>
        <u/>
        <sz val="12"/>
        <rFont val="Times New Roman"/>
        <family val="1"/>
      </rPr>
      <t>l</t>
    </r>
    <r>
      <rPr>
        <b/>
        <u/>
        <sz val="11"/>
        <rFont val="Arial Narrow"/>
        <family val="2"/>
      </rPr>
      <t>(25+n)</t>
    </r>
  </si>
  <si>
    <t>Niveau</t>
  </si>
  <si>
    <t>de décéder</t>
  </si>
  <si>
    <t>d'âge</t>
  </si>
  <si>
    <t>répondants</t>
  </si>
  <si>
    <t>en vie</t>
  </si>
  <si>
    <t>Localisation dans le temps des estimations</t>
  </si>
  <si>
    <t>Date d'enquête</t>
  </si>
  <si>
    <t xml:space="preserve">Age </t>
  </si>
  <si>
    <t>Correction pour</t>
  </si>
  <si>
    <t>Point médian</t>
  </si>
  <si>
    <t>Localisation</t>
  </si>
  <si>
    <t>central</t>
  </si>
  <si>
    <t>survivants</t>
  </si>
  <si>
    <t>prop. en vie</t>
  </si>
  <si>
    <t>non-linearité</t>
  </si>
  <si>
    <t>d'exposition</t>
  </si>
  <si>
    <t>dans le temps</t>
  </si>
  <si>
    <t>Coefficients de régression - Timaeus (1992)</t>
  </si>
  <si>
    <t>Hommes avant le mariage</t>
  </si>
  <si>
    <t>Père</t>
  </si>
  <si>
    <r>
      <rPr>
        <b/>
        <i/>
        <sz val="11"/>
        <rFont val="Arial Narrow"/>
        <family val="2"/>
      </rPr>
      <t>(N</t>
    </r>
    <r>
      <rPr>
        <b/>
        <sz val="11"/>
        <rFont val="Arial Narrow"/>
        <family val="2"/>
      </rPr>
      <t>+0,75)/2</t>
    </r>
  </si>
  <si>
    <t>Coefficients de régression - (Timaeus, 1992)</t>
  </si>
  <si>
    <t xml:space="preserve">Cette feuille de calcul estime la mortalité des femmes et des hommes adultes à partir des proportions de répondants dont la mère et le père sont en vie, quand une question supplémentaire a été posée pour distinguer entre les répondants devenus orphelins à l'âge adulte (c'est-à-dire depuis leur 1er mariage ou la naissance de leur 1er enfant) et ceux devenus orphelins dans l'enfance. </t>
  </si>
  <si>
    <t>Choisir la famille de tables-types de mortalité par rapport à laquelle vous voulez évaluer le niveau et l'évolution de la mortalité dans cette population, en utilisant le menu déroulant à droite de cette cellule</t>
  </si>
  <si>
    <t>http://demographicestimation.iussp.org/fr/content/estimation-indirecte-de-la-mortalite-adulte-à-partir-des-proportions-d'orphelins</t>
  </si>
  <si>
    <t>Paramètres d'entrée</t>
  </si>
  <si>
    <t>Nom pays/population</t>
  </si>
  <si>
    <t>Table de mortalité standard :</t>
  </si>
  <si>
    <t>Indice résumé :</t>
  </si>
  <si>
    <t>Date de l'interview :</t>
  </si>
  <si>
    <t>Calcul de l'âge moyen à la naissance des enfants</t>
  </si>
  <si>
    <t>Naissances par:</t>
  </si>
  <si>
    <t>Totaux:</t>
  </si>
  <si>
    <t>Naissances</t>
  </si>
  <si>
    <t>Age au</t>
  </si>
  <si>
    <t>année passée</t>
  </si>
  <si>
    <t>point médian</t>
  </si>
  <si>
    <t>Age à l'interview</t>
  </si>
  <si>
    <t>Femmes, depuis le mariage</t>
  </si>
  <si>
    <t>Femmes, depuis la naissance</t>
  </si>
  <si>
    <t>Hommes, depuis la naissance</t>
  </si>
  <si>
    <t>Hommes, depuis le mariage</t>
  </si>
  <si>
    <t>Egypte</t>
  </si>
  <si>
    <t>10</t>
  </si>
</sst>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43" formatCode="_-* #,##0.00_-;\-* #,##0.00_-;_-* &quot;-&quot;??_-;_-@_-"/>
    <numFmt numFmtId="164" formatCode="_ * #,##0.00_ ;_ * \-#,##0.00_ ;_ * &quot;-&quot;??_ ;_ @_ "/>
    <numFmt numFmtId="165" formatCode="0.0000_)"/>
    <numFmt numFmtId="166" formatCode="0_)"/>
    <numFmt numFmtId="167" formatCode="0.0_)"/>
    <numFmt numFmtId="168" formatCode="0.000_)"/>
    <numFmt numFmtId="169" formatCode="0.00_)"/>
    <numFmt numFmtId="170" formatCode="General_)"/>
    <numFmt numFmtId="171" formatCode="0.0000"/>
    <numFmt numFmtId="172" formatCode="0.00000"/>
    <numFmt numFmtId="173" formatCode="0.00000_)"/>
    <numFmt numFmtId="174" formatCode="#,##0.0000"/>
  </numFmts>
  <fonts count="56">
    <font>
      <sz val="10"/>
      <name val="Courier"/>
    </font>
    <font>
      <sz val="11"/>
      <name val="Times New Roman"/>
      <family val="1"/>
    </font>
    <font>
      <sz val="11"/>
      <name val="Times New Roman"/>
      <family val="1"/>
    </font>
    <font>
      <sz val="11"/>
      <color indexed="12"/>
      <name val="Times New Roman"/>
      <family val="1"/>
    </font>
    <font>
      <sz val="10"/>
      <name val="Courier"/>
      <family val="3"/>
    </font>
    <font>
      <b/>
      <sz val="10"/>
      <name val="Courier"/>
      <family val="3"/>
    </font>
    <font>
      <b/>
      <sz val="12"/>
      <name val="Arial"/>
      <family val="2"/>
    </font>
    <font>
      <sz val="10"/>
      <name val="Arial"/>
      <family val="2"/>
    </font>
    <font>
      <b/>
      <sz val="11"/>
      <name val="Arial Narrow"/>
      <family val="2"/>
    </font>
    <font>
      <sz val="12"/>
      <name val="Arial Narrow"/>
      <family val="2"/>
    </font>
    <font>
      <b/>
      <i/>
      <sz val="11"/>
      <name val="Arial Narrow"/>
      <family val="2"/>
    </font>
    <font>
      <b/>
      <i/>
      <vertAlign val="subscript"/>
      <sz val="11"/>
      <name val="Arial Narrow"/>
      <family val="2"/>
    </font>
    <font>
      <sz val="12"/>
      <name val="Arial"/>
      <family val="2"/>
    </font>
    <font>
      <u/>
      <sz val="10"/>
      <color indexed="8"/>
      <name val="Arial"/>
      <family val="2"/>
    </font>
    <font>
      <u/>
      <sz val="10"/>
      <name val="Arial"/>
      <family val="2"/>
    </font>
    <font>
      <sz val="10"/>
      <color indexed="8"/>
      <name val="Arial"/>
      <family val="2"/>
    </font>
    <font>
      <b/>
      <sz val="11"/>
      <name val="Arial"/>
      <family val="2"/>
    </font>
    <font>
      <b/>
      <u/>
      <sz val="11"/>
      <name val="Arial Narrow"/>
      <family val="2"/>
    </font>
    <font>
      <b/>
      <i/>
      <u/>
      <sz val="12"/>
      <name val="Times New Roman"/>
      <family val="1"/>
    </font>
    <font>
      <sz val="10"/>
      <name val="Arial Narrow"/>
      <family val="2"/>
    </font>
    <font>
      <b/>
      <sz val="11"/>
      <color indexed="8"/>
      <name val="Times New Roman"/>
      <family val="1"/>
    </font>
    <font>
      <b/>
      <i/>
      <sz val="12"/>
      <color indexed="8"/>
      <name val="Times New Roman"/>
      <family val="1"/>
    </font>
    <font>
      <b/>
      <i/>
      <sz val="12"/>
      <name val="Times New Roman"/>
      <family val="1"/>
    </font>
    <font>
      <b/>
      <sz val="11"/>
      <color indexed="8"/>
      <name val="Arial Narrow"/>
      <family val="2"/>
    </font>
    <font>
      <sz val="11"/>
      <name val="Arial Narrow"/>
      <family val="2"/>
    </font>
    <font>
      <b/>
      <sz val="11"/>
      <name val="Calibri"/>
      <family val="2"/>
    </font>
    <font>
      <sz val="10"/>
      <name val="Calibri"/>
      <family val="2"/>
    </font>
    <font>
      <b/>
      <sz val="12"/>
      <name val="Arial Narrow"/>
      <family val="2"/>
    </font>
    <font>
      <sz val="10"/>
      <color indexed="12"/>
      <name val="Arial"/>
      <family val="2"/>
    </font>
    <font>
      <b/>
      <vertAlign val="subscript"/>
      <sz val="11"/>
      <name val="Arial Narrow"/>
      <family val="2"/>
    </font>
    <font>
      <sz val="12"/>
      <name val="Courier"/>
      <family val="3"/>
    </font>
    <font>
      <sz val="12"/>
      <color theme="0"/>
      <name val="Arial"/>
      <family val="2"/>
    </font>
    <font>
      <u/>
      <sz val="10"/>
      <color theme="10"/>
      <name val="Arial"/>
      <family val="2"/>
    </font>
    <font>
      <u/>
      <sz val="12"/>
      <color theme="10"/>
      <name val="Arial"/>
      <family val="2"/>
    </font>
    <font>
      <i/>
      <sz val="12"/>
      <name val="Arial"/>
      <family val="2"/>
    </font>
    <font>
      <sz val="12"/>
      <color rgb="FFFF0000"/>
      <name val="Arial"/>
      <family val="2"/>
    </font>
    <font>
      <sz val="11"/>
      <color indexed="8"/>
      <name val="Calibri"/>
      <family val="2"/>
    </font>
    <font>
      <sz val="8"/>
      <name val="SAS Monospace"/>
      <family val="3"/>
    </font>
    <font>
      <sz val="9"/>
      <color indexed="81"/>
      <name val="Tahoma"/>
      <family val="2"/>
    </font>
    <font>
      <b/>
      <i/>
      <sz val="12"/>
      <name val="Arial Narrow"/>
      <family val="2"/>
    </font>
    <font>
      <b/>
      <i/>
      <vertAlign val="superscript"/>
      <sz val="12"/>
      <name val="Arial Narrow"/>
      <family val="2"/>
    </font>
    <font>
      <i/>
      <sz val="10"/>
      <name val="Arial"/>
      <family val="2"/>
    </font>
    <font>
      <b/>
      <i/>
      <sz val="12"/>
      <name val="Arial"/>
      <family val="2"/>
    </font>
    <font>
      <sz val="12"/>
      <color rgb="FF006600"/>
      <name val="Arial"/>
      <family val="2"/>
    </font>
    <font>
      <i/>
      <sz val="12"/>
      <color rgb="FF006600"/>
      <name val="Arial"/>
      <family val="2"/>
    </font>
    <font>
      <sz val="10"/>
      <color rgb="FF006600"/>
      <name val="Arial"/>
      <family val="2"/>
    </font>
    <font>
      <sz val="10"/>
      <color theme="9" tint="-0.499984740745262"/>
      <name val="Arial"/>
      <family val="2"/>
    </font>
    <font>
      <b/>
      <sz val="10"/>
      <color theme="9" tint="-0.499984740745262"/>
      <name val="Arial"/>
      <family val="2"/>
    </font>
    <font>
      <b/>
      <i/>
      <sz val="10"/>
      <color theme="9" tint="-0.499984740745262"/>
      <name val="Arial"/>
      <family val="2"/>
    </font>
    <font>
      <b/>
      <i/>
      <sz val="12"/>
      <color theme="9" tint="-0.499984740745262"/>
      <name val="Arial"/>
      <family val="2"/>
    </font>
    <font>
      <b/>
      <i/>
      <vertAlign val="superscript"/>
      <sz val="12"/>
      <color theme="9" tint="-0.499984740745262"/>
      <name val="Arial Narrow"/>
      <family val="2"/>
    </font>
    <font>
      <b/>
      <i/>
      <sz val="12"/>
      <color theme="9" tint="-0.499984740745262"/>
      <name val="Arial Narrow"/>
      <family val="2"/>
    </font>
    <font>
      <b/>
      <i/>
      <sz val="11"/>
      <color indexed="8"/>
      <name val="Arial Narrow"/>
      <family val="2"/>
    </font>
    <font>
      <u/>
      <sz val="11"/>
      <color theme="10"/>
      <name val="Arial"/>
      <family val="2"/>
    </font>
    <font>
      <b/>
      <sz val="10"/>
      <name val="Arial"/>
      <family val="2"/>
    </font>
    <font>
      <i/>
      <sz val="12"/>
      <color indexed="81"/>
      <name val="Times New Roman"/>
      <family val="1"/>
    </font>
  </fonts>
  <fills count="7">
    <fill>
      <patternFill patternType="none"/>
    </fill>
    <fill>
      <patternFill patternType="gray125"/>
    </fill>
    <fill>
      <patternFill patternType="solid">
        <fgColor theme="0"/>
        <bgColor indexed="64"/>
      </patternFill>
    </fill>
    <fill>
      <patternFill patternType="solid">
        <fgColor rgb="FFC6EFCE"/>
        <bgColor indexed="64"/>
      </patternFill>
    </fill>
    <fill>
      <patternFill patternType="solid">
        <fgColor rgb="FFFFEB9B"/>
        <bgColor indexed="64"/>
      </patternFill>
    </fill>
    <fill>
      <patternFill patternType="solid">
        <fgColor rgb="FFFFEB9C"/>
        <bgColor indexed="64"/>
      </patternFill>
    </fill>
    <fill>
      <patternFill patternType="solid">
        <fgColor theme="5" tint="0.39997558519241921"/>
        <bgColor indexed="64"/>
      </patternFill>
    </fill>
  </fills>
  <borders count="16">
    <border>
      <left/>
      <right/>
      <top/>
      <bottom/>
      <diagonal/>
    </border>
    <border>
      <left/>
      <right/>
      <top/>
      <bottom style="thin">
        <color indexed="64"/>
      </bottom>
      <diagonal/>
    </border>
    <border>
      <left/>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theme="9" tint="-0.249977111117893"/>
      </left>
      <right style="thin">
        <color theme="9" tint="-0.249977111117893"/>
      </right>
      <top style="thin">
        <color theme="9" tint="-0.249977111117893"/>
      </top>
      <bottom/>
      <diagonal/>
    </border>
    <border>
      <left style="thin">
        <color theme="9" tint="-0.249977111117893"/>
      </left>
      <right style="thin">
        <color theme="9" tint="-0.249977111117893"/>
      </right>
      <top/>
      <bottom style="thin">
        <color theme="9" tint="-0.249977111117893"/>
      </bottom>
      <diagonal/>
    </border>
    <border>
      <left/>
      <right/>
      <top style="thin">
        <color indexed="64"/>
      </top>
      <bottom style="thin">
        <color indexed="64"/>
      </bottom>
      <diagonal/>
    </border>
    <border>
      <left style="medium">
        <color theme="9" tint="-0.499984740745262"/>
      </left>
      <right/>
      <top style="medium">
        <color theme="9" tint="-0.499984740745262"/>
      </top>
      <bottom style="medium">
        <color theme="9" tint="-0.499984740745262"/>
      </bottom>
      <diagonal/>
    </border>
    <border>
      <left/>
      <right style="medium">
        <color theme="9" tint="-0.499984740745262"/>
      </right>
      <top style="medium">
        <color theme="9" tint="-0.499984740745262"/>
      </top>
      <bottom style="medium">
        <color theme="9" tint="-0.499984740745262"/>
      </bottom>
      <diagonal/>
    </border>
  </borders>
  <cellStyleXfs count="12">
    <xf numFmtId="165" fontId="0" fillId="0" borderId="0"/>
    <xf numFmtId="43" fontId="1" fillId="0" borderId="0" applyFont="0" applyFill="0" applyBorder="0" applyAlignment="0" applyProtection="0"/>
    <xf numFmtId="165" fontId="4" fillId="0" borderId="0"/>
    <xf numFmtId="165" fontId="4" fillId="0" borderId="0"/>
    <xf numFmtId="0" fontId="7" fillId="0" borderId="0"/>
    <xf numFmtId="170" fontId="30" fillId="0" borderId="0"/>
    <xf numFmtId="0" fontId="32" fillId="0" borderId="0" applyNumberFormat="0" applyFill="0" applyBorder="0" applyAlignment="0" applyProtection="0">
      <alignment vertical="top"/>
      <protection locked="0"/>
    </xf>
    <xf numFmtId="164" fontId="36" fillId="0" borderId="0" applyFont="0" applyFill="0" applyBorder="0" applyAlignment="0" applyProtection="0"/>
    <xf numFmtId="0" fontId="37" fillId="0" borderId="0"/>
    <xf numFmtId="0" fontId="37" fillId="0" borderId="0"/>
    <xf numFmtId="0" fontId="7" fillId="0" borderId="0"/>
    <xf numFmtId="170" fontId="30" fillId="0" borderId="0"/>
  </cellStyleXfs>
  <cellXfs count="293">
    <xf numFmtId="165" fontId="0" fillId="0" borderId="0" xfId="0"/>
    <xf numFmtId="165" fontId="2" fillId="0" borderId="0" xfId="0" applyFont="1"/>
    <xf numFmtId="166" fontId="2" fillId="0" borderId="0" xfId="0" applyNumberFormat="1" applyFont="1" applyProtection="1"/>
    <xf numFmtId="165" fontId="2" fillId="0" borderId="0" xfId="0" applyFont="1" applyProtection="1"/>
    <xf numFmtId="165" fontId="2" fillId="0" borderId="0" xfId="0" applyFont="1" applyAlignment="1" applyProtection="1">
      <alignment horizontal="center"/>
    </xf>
    <xf numFmtId="165" fontId="2" fillId="0" borderId="0" xfId="0" applyFont="1" applyBorder="1"/>
    <xf numFmtId="167" fontId="2" fillId="0" borderId="0" xfId="0" applyNumberFormat="1" applyFont="1" applyProtection="1"/>
    <xf numFmtId="169" fontId="2" fillId="0" borderId="0" xfId="0" applyNumberFormat="1" applyFont="1" applyProtection="1"/>
    <xf numFmtId="168" fontId="2" fillId="0" borderId="0" xfId="0" applyNumberFormat="1" applyFont="1"/>
    <xf numFmtId="169" fontId="2" fillId="0" borderId="0" xfId="0" applyNumberFormat="1" applyFont="1"/>
    <xf numFmtId="169" fontId="2" fillId="0" borderId="0" xfId="0" applyNumberFormat="1" applyFont="1" applyBorder="1" applyAlignment="1" applyProtection="1">
      <alignment horizontal="center"/>
    </xf>
    <xf numFmtId="166" fontId="2" fillId="0" borderId="0" xfId="0" applyNumberFormat="1" applyFont="1"/>
    <xf numFmtId="165" fontId="2" fillId="0" borderId="0" xfId="0" applyFont="1" applyAlignment="1"/>
    <xf numFmtId="169" fontId="2" fillId="0" borderId="0" xfId="0" applyNumberFormat="1" applyFont="1" applyBorder="1" applyAlignment="1">
      <alignment horizontal="center"/>
    </xf>
    <xf numFmtId="166" fontId="2" fillId="0" borderId="0" xfId="0" applyNumberFormat="1" applyFont="1" applyAlignment="1">
      <alignment horizontal="center"/>
    </xf>
    <xf numFmtId="165" fontId="2" fillId="0" borderId="0" xfId="0" applyFont="1" applyAlignment="1">
      <alignment horizontal="center"/>
    </xf>
    <xf numFmtId="169" fontId="3" fillId="0" borderId="0" xfId="0" applyNumberFormat="1" applyFont="1" applyProtection="1"/>
    <xf numFmtId="165" fontId="5" fillId="0" borderId="0" xfId="0" applyFont="1" applyFill="1" applyBorder="1" applyAlignment="1">
      <alignment horizontal="left" wrapText="1"/>
    </xf>
    <xf numFmtId="169" fontId="5" fillId="0" borderId="0" xfId="0" applyNumberFormat="1" applyFont="1" applyFill="1" applyBorder="1" applyAlignment="1">
      <alignment horizontal="left" wrapText="1"/>
    </xf>
    <xf numFmtId="168" fontId="5" fillId="0" borderId="0" xfId="0" applyNumberFormat="1" applyFont="1" applyFill="1" applyBorder="1" applyAlignment="1">
      <alignment horizontal="left" wrapText="1"/>
    </xf>
    <xf numFmtId="165" fontId="5" fillId="0" borderId="0" xfId="0" applyFont="1" applyFill="1" applyBorder="1" applyAlignment="1">
      <alignment horizontal="left" vertical="top" wrapText="1"/>
    </xf>
    <xf numFmtId="171" fontId="1" fillId="0" borderId="0" xfId="0" applyNumberFormat="1" applyFont="1" applyProtection="1"/>
    <xf numFmtId="170" fontId="6" fillId="0" borderId="0" xfId="0" applyNumberFormat="1" applyFont="1" applyAlignment="1" applyProtection="1">
      <alignment horizontal="left"/>
    </xf>
    <xf numFmtId="170" fontId="7" fillId="0" borderId="0" xfId="0" applyNumberFormat="1" applyFont="1"/>
    <xf numFmtId="170" fontId="7" fillId="0" borderId="0" xfId="0" applyNumberFormat="1" applyFont="1" applyAlignment="1" applyProtection="1">
      <alignment horizontal="right"/>
    </xf>
    <xf numFmtId="170" fontId="7" fillId="0" borderId="0" xfId="0" applyNumberFormat="1" applyFont="1" applyProtection="1"/>
    <xf numFmtId="170" fontId="8" fillId="2" borderId="2" xfId="0" applyNumberFormat="1" applyFont="1" applyFill="1" applyBorder="1" applyAlignment="1" applyProtection="1">
      <alignment horizontal="center"/>
    </xf>
    <xf numFmtId="170" fontId="8" fillId="2" borderId="2" xfId="0" applyNumberFormat="1" applyFont="1" applyFill="1" applyBorder="1"/>
    <xf numFmtId="170" fontId="8" fillId="2" borderId="0" xfId="0" applyNumberFormat="1" applyFont="1" applyFill="1" applyBorder="1" applyAlignment="1" applyProtection="1">
      <alignment horizontal="center"/>
    </xf>
    <xf numFmtId="170" fontId="10" fillId="2" borderId="1" xfId="0" applyNumberFormat="1" applyFont="1" applyFill="1" applyBorder="1" applyAlignment="1" applyProtection="1">
      <alignment horizontal="center"/>
    </xf>
    <xf numFmtId="170" fontId="8" fillId="2" borderId="1" xfId="0" applyNumberFormat="1" applyFont="1" applyFill="1" applyBorder="1" applyAlignment="1" applyProtection="1">
      <alignment horizontal="center"/>
    </xf>
    <xf numFmtId="170" fontId="7" fillId="2" borderId="0" xfId="0" applyNumberFormat="1" applyFont="1" applyFill="1" applyAlignment="1" applyProtection="1">
      <alignment horizontal="center"/>
    </xf>
    <xf numFmtId="170" fontId="7" fillId="2" borderId="0" xfId="0" applyNumberFormat="1" applyFont="1" applyFill="1" applyProtection="1"/>
    <xf numFmtId="165" fontId="7" fillId="2" borderId="0" xfId="0" applyNumberFormat="1" applyFont="1" applyFill="1" applyProtection="1"/>
    <xf numFmtId="168" fontId="7" fillId="2" borderId="0" xfId="0" applyNumberFormat="1" applyFont="1" applyFill="1" applyProtection="1"/>
    <xf numFmtId="169" fontId="7" fillId="2" borderId="0" xfId="0" applyNumberFormat="1" applyFont="1" applyFill="1" applyProtection="1"/>
    <xf numFmtId="170" fontId="7" fillId="2" borderId="1" xfId="0" applyNumberFormat="1" applyFont="1" applyFill="1" applyBorder="1" applyAlignment="1" applyProtection="1">
      <alignment horizontal="center"/>
    </xf>
    <xf numFmtId="170" fontId="7" fillId="2" borderId="1" xfId="0" applyNumberFormat="1" applyFont="1" applyFill="1" applyBorder="1" applyProtection="1"/>
    <xf numFmtId="165" fontId="7" fillId="2" borderId="1" xfId="0" applyNumberFormat="1" applyFont="1" applyFill="1" applyBorder="1" applyProtection="1"/>
    <xf numFmtId="168" fontId="7" fillId="2" borderId="1" xfId="0" applyNumberFormat="1" applyFont="1" applyFill="1" applyBorder="1" applyProtection="1"/>
    <xf numFmtId="169" fontId="7" fillId="2" borderId="1" xfId="0" applyNumberFormat="1" applyFont="1" applyFill="1" applyBorder="1" applyProtection="1"/>
    <xf numFmtId="170" fontId="12" fillId="0" borderId="0" xfId="0" applyNumberFormat="1" applyFont="1" applyFill="1"/>
    <xf numFmtId="170" fontId="7" fillId="0" borderId="0" xfId="0" quotePrefix="1" applyNumberFormat="1" applyFont="1" applyFill="1" applyAlignment="1" applyProtection="1">
      <alignment horizontal="right"/>
    </xf>
    <xf numFmtId="170" fontId="13" fillId="0" borderId="0" xfId="0" applyNumberFormat="1" applyFont="1" applyFill="1" applyAlignment="1" applyProtection="1">
      <alignment horizontal="center"/>
    </xf>
    <xf numFmtId="170" fontId="7" fillId="0" borderId="0" xfId="0" applyNumberFormat="1" applyFont="1" applyFill="1" applyAlignment="1" applyProtection="1">
      <alignment horizontal="right"/>
    </xf>
    <xf numFmtId="170" fontId="14" fillId="0" borderId="0" xfId="0" quotePrefix="1" applyNumberFormat="1" applyFont="1" applyFill="1" applyAlignment="1" applyProtection="1">
      <alignment horizontal="left"/>
    </xf>
    <xf numFmtId="170" fontId="7" fillId="0" borderId="0" xfId="0" quotePrefix="1" applyNumberFormat="1" applyFont="1" applyFill="1" applyAlignment="1" applyProtection="1">
      <alignment horizontal="left"/>
    </xf>
    <xf numFmtId="170" fontId="7" fillId="0" borderId="0" xfId="0" applyNumberFormat="1" applyFont="1" applyFill="1"/>
    <xf numFmtId="170" fontId="15" fillId="0" borderId="0" xfId="0" applyNumberFormat="1" applyFont="1" applyFill="1" applyBorder="1" applyAlignment="1" applyProtection="1">
      <alignment horizontal="center"/>
    </xf>
    <xf numFmtId="169" fontId="2" fillId="2" borderId="0" xfId="0" applyNumberFormat="1" applyFont="1" applyFill="1"/>
    <xf numFmtId="3" fontId="7" fillId="3" borderId="0" xfId="0" applyNumberFormat="1" applyFont="1" applyFill="1" applyAlignment="1" applyProtection="1">
      <alignment horizontal="right"/>
      <protection locked="0"/>
    </xf>
    <xf numFmtId="165" fontId="7" fillId="0" borderId="0" xfId="0" applyNumberFormat="1" applyFont="1" applyFill="1" applyBorder="1" applyAlignment="1" applyProtection="1">
      <alignment horizontal="right"/>
    </xf>
    <xf numFmtId="170" fontId="12" fillId="0" borderId="0" xfId="0" applyNumberFormat="1" applyFont="1"/>
    <xf numFmtId="165" fontId="7" fillId="0" borderId="0" xfId="0" applyNumberFormat="1" applyFont="1" applyFill="1" applyBorder="1" applyProtection="1"/>
    <xf numFmtId="170" fontId="16" fillId="0" borderId="0" xfId="0" applyNumberFormat="1" applyFont="1" applyAlignment="1" applyProtection="1">
      <alignment horizontal="left"/>
    </xf>
    <xf numFmtId="170" fontId="19" fillId="2" borderId="2" xfId="0" applyNumberFormat="1" applyFont="1" applyFill="1" applyBorder="1"/>
    <xf numFmtId="170" fontId="23" fillId="2" borderId="1" xfId="0" applyNumberFormat="1" applyFont="1" applyFill="1" applyBorder="1" applyAlignment="1" applyProtection="1">
      <alignment horizontal="center"/>
    </xf>
    <xf numFmtId="165" fontId="7" fillId="0" borderId="0" xfId="0" applyNumberFormat="1" applyFont="1" applyFill="1" applyBorder="1" applyAlignment="1" applyProtection="1">
      <alignment horizontal="center"/>
    </xf>
    <xf numFmtId="170" fontId="10" fillId="2" borderId="0" xfId="0" applyNumberFormat="1" applyFont="1" applyFill="1" applyBorder="1" applyAlignment="1" applyProtection="1">
      <alignment horizontal="center"/>
    </xf>
    <xf numFmtId="170" fontId="7" fillId="2" borderId="0" xfId="0" quotePrefix="1" applyNumberFormat="1" applyFont="1" applyFill="1" applyAlignment="1" applyProtection="1">
      <alignment horizontal="center"/>
    </xf>
    <xf numFmtId="170" fontId="20" fillId="2" borderId="0" xfId="0" applyNumberFormat="1" applyFont="1" applyFill="1" applyBorder="1" applyAlignment="1" applyProtection="1">
      <alignment horizontal="center"/>
    </xf>
    <xf numFmtId="170" fontId="8" fillId="2" borderId="0" xfId="0" quotePrefix="1" applyNumberFormat="1" applyFont="1" applyFill="1" applyBorder="1" applyAlignment="1" applyProtection="1">
      <alignment horizontal="center"/>
    </xf>
    <xf numFmtId="170" fontId="23" fillId="2" borderId="0" xfId="0" applyNumberFormat="1" applyFont="1" applyFill="1" applyBorder="1" applyAlignment="1" applyProtection="1">
      <alignment horizontal="center"/>
    </xf>
    <xf numFmtId="165" fontId="8" fillId="2" borderId="0" xfId="0" applyNumberFormat="1" applyFont="1" applyFill="1" applyBorder="1" applyAlignment="1" applyProtection="1">
      <alignment horizontal="center"/>
    </xf>
    <xf numFmtId="170" fontId="9" fillId="2" borderId="0" xfId="0" applyNumberFormat="1" applyFont="1" applyFill="1" applyBorder="1"/>
    <xf numFmtId="170" fontId="19" fillId="2" borderId="1" xfId="0" applyNumberFormat="1" applyFont="1" applyFill="1" applyBorder="1"/>
    <xf numFmtId="169" fontId="15" fillId="0" borderId="0" xfId="0" applyNumberFormat="1" applyFont="1" applyFill="1" applyBorder="1" applyProtection="1"/>
    <xf numFmtId="169" fontId="7" fillId="2" borderId="0" xfId="0" applyNumberFormat="1" applyFont="1" applyFill="1" applyBorder="1" applyProtection="1"/>
    <xf numFmtId="170" fontId="7" fillId="0" borderId="0" xfId="0" quotePrefix="1" applyNumberFormat="1" applyFont="1" applyAlignment="1" applyProtection="1">
      <alignment horizontal="left"/>
    </xf>
    <xf numFmtId="169" fontId="7" fillId="0" borderId="0" xfId="0" applyNumberFormat="1" applyFont="1" applyProtection="1"/>
    <xf numFmtId="165" fontId="7" fillId="2" borderId="0" xfId="0" applyNumberFormat="1" applyFont="1" applyFill="1" applyBorder="1" applyProtection="1"/>
    <xf numFmtId="165" fontId="2" fillId="0" borderId="0" xfId="0" applyFont="1" applyBorder="1" applyAlignment="1" applyProtection="1">
      <alignment horizontal="center"/>
    </xf>
    <xf numFmtId="170" fontId="2" fillId="0" borderId="0" xfId="0" applyNumberFormat="1" applyFont="1" applyBorder="1" applyProtection="1"/>
    <xf numFmtId="165" fontId="2" fillId="2" borderId="0" xfId="0" applyFont="1" applyFill="1"/>
    <xf numFmtId="169" fontId="3" fillId="2" borderId="0" xfId="0" applyNumberFormat="1" applyFont="1" applyFill="1" applyProtection="1">
      <protection locked="0"/>
    </xf>
    <xf numFmtId="165" fontId="2" fillId="2" borderId="0" xfId="0" applyFont="1" applyFill="1" applyAlignment="1" applyProtection="1">
      <alignment horizontal="center"/>
    </xf>
    <xf numFmtId="165" fontId="2" fillId="2" borderId="0" xfId="0" applyNumberFormat="1" applyFont="1" applyFill="1" applyProtection="1"/>
    <xf numFmtId="165" fontId="2" fillId="2" borderId="1" xfId="0" applyFont="1" applyFill="1" applyBorder="1" applyAlignment="1" applyProtection="1">
      <alignment horizontal="center"/>
    </xf>
    <xf numFmtId="165" fontId="2" fillId="2" borderId="1" xfId="0" applyFont="1" applyFill="1" applyBorder="1"/>
    <xf numFmtId="169" fontId="2" fillId="2" borderId="1" xfId="0" applyNumberFormat="1" applyFont="1" applyFill="1" applyBorder="1"/>
    <xf numFmtId="170" fontId="7" fillId="2" borderId="0" xfId="0" applyNumberFormat="1" applyFont="1" applyFill="1" applyBorder="1" applyAlignment="1" applyProtection="1">
      <alignment horizontal="center"/>
    </xf>
    <xf numFmtId="170" fontId="7" fillId="2" borderId="0" xfId="0" applyNumberFormat="1" applyFont="1" applyFill="1" applyBorder="1" applyProtection="1"/>
    <xf numFmtId="168" fontId="7" fillId="2" borderId="0" xfId="0" applyNumberFormat="1" applyFont="1" applyFill="1" applyBorder="1" applyProtection="1"/>
    <xf numFmtId="169" fontId="3" fillId="2" borderId="0" xfId="0" applyNumberFormat="1" applyFont="1" applyFill="1" applyBorder="1" applyProtection="1">
      <protection locked="0"/>
    </xf>
    <xf numFmtId="165" fontId="2" fillId="2" borderId="0" xfId="0" applyFont="1" applyFill="1" applyBorder="1"/>
    <xf numFmtId="170" fontId="7" fillId="0" borderId="0" xfId="0" applyNumberFormat="1" applyFont="1" applyFill="1" applyBorder="1"/>
    <xf numFmtId="165" fontId="2" fillId="0" borderId="0" xfId="0" applyFont="1" applyFill="1" applyBorder="1"/>
    <xf numFmtId="165" fontId="2" fillId="0" borderId="0" xfId="0" applyFont="1" applyFill="1" applyBorder="1" applyAlignment="1" applyProtection="1">
      <alignment horizontal="center"/>
    </xf>
    <xf numFmtId="169" fontId="2" fillId="2" borderId="2" xfId="0" applyNumberFormat="1" applyFont="1" applyFill="1" applyBorder="1"/>
    <xf numFmtId="165" fontId="2" fillId="2" borderId="2" xfId="0" applyFont="1" applyFill="1" applyBorder="1"/>
    <xf numFmtId="170" fontId="8" fillId="0" borderId="0" xfId="0" applyNumberFormat="1" applyFont="1" applyFill="1" applyBorder="1" applyAlignment="1" applyProtection="1">
      <alignment horizontal="center"/>
    </xf>
    <xf numFmtId="165" fontId="2" fillId="2" borderId="0" xfId="0" applyFont="1" applyFill="1" applyBorder="1" applyAlignment="1" applyProtection="1">
      <alignment horizontal="center"/>
    </xf>
    <xf numFmtId="167" fontId="2" fillId="2" borderId="0" xfId="0" applyNumberFormat="1" applyFont="1" applyFill="1" applyBorder="1" applyProtection="1"/>
    <xf numFmtId="165" fontId="2" fillId="2" borderId="0" xfId="0" applyNumberFormat="1" applyFont="1" applyFill="1" applyBorder="1" applyProtection="1"/>
    <xf numFmtId="168" fontId="2" fillId="2" borderId="1" xfId="0" applyNumberFormat="1" applyFont="1" applyFill="1" applyBorder="1" applyProtection="1"/>
    <xf numFmtId="170" fontId="7" fillId="2" borderId="1" xfId="0" applyNumberFormat="1" applyFont="1" applyFill="1" applyBorder="1"/>
    <xf numFmtId="170" fontId="7" fillId="0" borderId="0" xfId="0" applyNumberFormat="1" applyFont="1" applyFill="1" applyAlignment="1">
      <alignment horizontal="right"/>
    </xf>
    <xf numFmtId="169" fontId="3" fillId="2" borderId="2" xfId="0" applyNumberFormat="1" applyFont="1" applyFill="1" applyBorder="1" applyProtection="1">
      <protection locked="0"/>
    </xf>
    <xf numFmtId="165" fontId="2" fillId="2" borderId="0" xfId="0" applyNumberFormat="1" applyFont="1" applyFill="1" applyBorder="1"/>
    <xf numFmtId="172" fontId="1" fillId="2" borderId="1" xfId="0" applyNumberFormat="1" applyFont="1" applyFill="1" applyBorder="1" applyProtection="1"/>
    <xf numFmtId="171" fontId="1" fillId="2" borderId="1" xfId="0" applyNumberFormat="1" applyFont="1" applyFill="1" applyBorder="1" applyProtection="1"/>
    <xf numFmtId="170" fontId="7" fillId="0" borderId="0" xfId="0" applyNumberFormat="1" applyFont="1" applyAlignment="1">
      <alignment horizontal="right"/>
    </xf>
    <xf numFmtId="170" fontId="0" fillId="0" borderId="0" xfId="0" applyNumberFormat="1"/>
    <xf numFmtId="170" fontId="0" fillId="2" borderId="1" xfId="0" applyNumberFormat="1" applyFill="1" applyBorder="1"/>
    <xf numFmtId="170" fontId="7" fillId="2" borderId="1" xfId="0" quotePrefix="1" applyNumberFormat="1" applyFont="1" applyFill="1" applyBorder="1" applyAlignment="1" applyProtection="1">
      <alignment horizontal="center"/>
    </xf>
    <xf numFmtId="170" fontId="0" fillId="0" borderId="0" xfId="0" applyNumberFormat="1" applyFill="1"/>
    <xf numFmtId="170" fontId="26" fillId="0" borderId="0" xfId="0" applyNumberFormat="1" applyFont="1" applyFill="1" applyBorder="1" applyAlignment="1" applyProtection="1">
      <alignment horizontal="right"/>
    </xf>
    <xf numFmtId="170" fontId="7" fillId="0" borderId="0" xfId="0" quotePrefix="1" applyNumberFormat="1" applyFont="1" applyFill="1" applyBorder="1" applyAlignment="1" applyProtection="1">
      <alignment horizontal="left"/>
    </xf>
    <xf numFmtId="170" fontId="0" fillId="0" borderId="0" xfId="0" applyNumberFormat="1" applyFill="1" applyBorder="1"/>
    <xf numFmtId="170" fontId="27" fillId="0" borderId="0" xfId="0" applyNumberFormat="1" applyFont="1" applyAlignment="1">
      <alignment horizontal="right"/>
    </xf>
    <xf numFmtId="165" fontId="7" fillId="2" borderId="0" xfId="3" applyNumberFormat="1" applyFont="1" applyFill="1" applyProtection="1"/>
    <xf numFmtId="170" fontId="4" fillId="0" borderId="0" xfId="0" applyNumberFormat="1" applyFont="1"/>
    <xf numFmtId="170" fontId="7" fillId="2" borderId="1" xfId="0" applyNumberFormat="1" applyFont="1" applyFill="1" applyBorder="1" applyAlignment="1" applyProtection="1">
      <alignment horizontal="right"/>
    </xf>
    <xf numFmtId="170" fontId="13" fillId="2" borderId="1" xfId="0" applyNumberFormat="1" applyFont="1" applyFill="1" applyBorder="1" applyAlignment="1" applyProtection="1">
      <alignment horizontal="center"/>
    </xf>
    <xf numFmtId="170" fontId="14" fillId="2" borderId="1" xfId="0" quotePrefix="1" applyNumberFormat="1" applyFont="1" applyFill="1" applyBorder="1" applyAlignment="1" applyProtection="1">
      <alignment horizontal="left"/>
    </xf>
    <xf numFmtId="170" fontId="7" fillId="2" borderId="1" xfId="0" quotePrefix="1" applyNumberFormat="1" applyFont="1" applyFill="1" applyBorder="1" applyAlignment="1" applyProtection="1">
      <alignment horizontal="left"/>
    </xf>
    <xf numFmtId="165" fontId="7" fillId="2" borderId="0" xfId="3" applyNumberFormat="1" applyFont="1" applyFill="1" applyBorder="1" applyProtection="1"/>
    <xf numFmtId="173" fontId="7" fillId="2" borderId="1" xfId="0" applyNumberFormat="1" applyFont="1" applyFill="1" applyBorder="1" applyProtection="1"/>
    <xf numFmtId="170" fontId="25" fillId="2" borderId="0" xfId="0" quotePrefix="1" applyNumberFormat="1" applyFont="1" applyFill="1" applyBorder="1" applyAlignment="1" applyProtection="1">
      <alignment horizontal="center"/>
    </xf>
    <xf numFmtId="170" fontId="0" fillId="2" borderId="0" xfId="0" applyNumberFormat="1" applyFill="1" applyBorder="1"/>
    <xf numFmtId="167" fontId="7" fillId="2" borderId="0" xfId="0" applyNumberFormat="1" applyFont="1" applyFill="1" applyBorder="1" applyProtection="1"/>
    <xf numFmtId="165" fontId="7" fillId="0" borderId="0" xfId="0" applyFont="1" applyAlignment="1" applyProtection="1">
      <alignment horizontal="center"/>
    </xf>
    <xf numFmtId="2" fontId="7" fillId="0" borderId="0" xfId="0" applyNumberFormat="1" applyFont="1" applyProtection="1"/>
    <xf numFmtId="165" fontId="7" fillId="2" borderId="0" xfId="0" applyFont="1" applyFill="1" applyAlignment="1" applyProtection="1">
      <alignment horizontal="center"/>
    </xf>
    <xf numFmtId="165" fontId="7" fillId="2" borderId="0" xfId="0" applyFont="1" applyFill="1" applyBorder="1"/>
    <xf numFmtId="165" fontId="7" fillId="0" borderId="0" xfId="0" applyFont="1"/>
    <xf numFmtId="169" fontId="7" fillId="0" borderId="0" xfId="0" applyNumberFormat="1" applyFont="1"/>
    <xf numFmtId="165" fontId="7" fillId="2" borderId="0" xfId="0" applyFont="1" applyFill="1" applyProtection="1"/>
    <xf numFmtId="173" fontId="7" fillId="2" borderId="0" xfId="0" applyNumberFormat="1" applyFont="1" applyFill="1" applyProtection="1"/>
    <xf numFmtId="165" fontId="7" fillId="2" borderId="1" xfId="0" applyFont="1" applyFill="1" applyBorder="1" applyAlignment="1" applyProtection="1">
      <alignment horizontal="center"/>
    </xf>
    <xf numFmtId="165" fontId="7" fillId="2" borderId="1" xfId="0" applyFont="1" applyFill="1" applyBorder="1" applyProtection="1"/>
    <xf numFmtId="165" fontId="7" fillId="0" borderId="0" xfId="0" applyFont="1" applyFill="1" applyBorder="1"/>
    <xf numFmtId="169" fontId="7" fillId="2" borderId="2" xfId="0" applyNumberFormat="1" applyFont="1" applyFill="1" applyBorder="1"/>
    <xf numFmtId="169" fontId="28" fillId="2" borderId="0" xfId="0" applyNumberFormat="1" applyFont="1" applyFill="1" applyBorder="1" applyProtection="1">
      <protection locked="0"/>
    </xf>
    <xf numFmtId="169" fontId="28" fillId="2" borderId="2" xfId="0" applyNumberFormat="1" applyFont="1" applyFill="1" applyBorder="1" applyProtection="1">
      <protection locked="0"/>
    </xf>
    <xf numFmtId="165" fontId="7" fillId="2" borderId="2" xfId="0" applyFont="1" applyFill="1" applyBorder="1"/>
    <xf numFmtId="165" fontId="7" fillId="2" borderId="0" xfId="0" applyFont="1" applyFill="1"/>
    <xf numFmtId="165" fontId="7" fillId="2" borderId="0" xfId="0" applyFont="1" applyFill="1" applyBorder="1" applyAlignment="1" applyProtection="1">
      <alignment horizontal="center"/>
    </xf>
    <xf numFmtId="165" fontId="7" fillId="2" borderId="0" xfId="0" applyNumberFormat="1" applyFont="1" applyFill="1" applyBorder="1"/>
    <xf numFmtId="169" fontId="24" fillId="0" borderId="0" xfId="0" applyNumberFormat="1" applyFont="1"/>
    <xf numFmtId="169" fontId="24" fillId="2" borderId="1" xfId="0" applyNumberFormat="1" applyFont="1" applyFill="1" applyBorder="1"/>
    <xf numFmtId="169" fontId="24" fillId="2" borderId="2" xfId="0" applyNumberFormat="1" applyFont="1" applyFill="1" applyBorder="1"/>
    <xf numFmtId="0" fontId="7" fillId="0" borderId="0" xfId="0" applyNumberFormat="1" applyFont="1" applyAlignment="1">
      <alignment horizontal="right"/>
    </xf>
    <xf numFmtId="166" fontId="7" fillId="2" borderId="0" xfId="0" applyNumberFormat="1" applyFont="1" applyFill="1" applyAlignment="1" applyProtection="1">
      <alignment horizontal="center"/>
    </xf>
    <xf numFmtId="166" fontId="7" fillId="2" borderId="1" xfId="0" applyNumberFormat="1" applyFont="1" applyFill="1" applyBorder="1" applyAlignment="1" applyProtection="1">
      <alignment horizontal="center"/>
    </xf>
    <xf numFmtId="165" fontId="7" fillId="2" borderId="2" xfId="0" applyNumberFormat="1" applyFont="1" applyFill="1" applyBorder="1" applyProtection="1"/>
    <xf numFmtId="170" fontId="31" fillId="0" borderId="0" xfId="5" applyFont="1"/>
    <xf numFmtId="170" fontId="12" fillId="0" borderId="0" xfId="5" applyFont="1"/>
    <xf numFmtId="0" fontId="6" fillId="0" borderId="0" xfId="4" applyFont="1" applyFill="1" applyAlignment="1">
      <alignment horizontal="center"/>
    </xf>
    <xf numFmtId="170" fontId="12" fillId="0" borderId="0" xfId="5" applyFont="1" applyFill="1"/>
    <xf numFmtId="0" fontId="12" fillId="0" borderId="0" xfId="4" applyFont="1" applyFill="1" applyAlignment="1">
      <alignment horizontal="left"/>
    </xf>
    <xf numFmtId="0" fontId="33" fillId="0" borderId="0" xfId="6" applyFont="1" applyFill="1" applyAlignment="1" applyProtection="1">
      <alignment horizontal="left"/>
    </xf>
    <xf numFmtId="170" fontId="12" fillId="0" borderId="0" xfId="5" applyFont="1" applyAlignment="1">
      <alignment wrapText="1"/>
    </xf>
    <xf numFmtId="170" fontId="6" fillId="0" borderId="0" xfId="5" applyFont="1"/>
    <xf numFmtId="14" fontId="12" fillId="0" borderId="0" xfId="5" applyNumberFormat="1" applyFont="1"/>
    <xf numFmtId="14" fontId="12" fillId="0" borderId="0" xfId="5" applyNumberFormat="1" applyFont="1" applyAlignment="1">
      <alignment wrapText="1"/>
    </xf>
    <xf numFmtId="170" fontId="35" fillId="0" borderId="0" xfId="5" applyFont="1"/>
    <xf numFmtId="170" fontId="12" fillId="0" borderId="0" xfId="5" applyFont="1" applyBorder="1"/>
    <xf numFmtId="170" fontId="12" fillId="0" borderId="0" xfId="5" applyFont="1" applyBorder="1" applyProtection="1">
      <protection hidden="1"/>
    </xf>
    <xf numFmtId="170" fontId="12" fillId="0" borderId="0" xfId="5" applyFont="1" applyProtection="1">
      <protection hidden="1"/>
    </xf>
    <xf numFmtId="170" fontId="27" fillId="0" borderId="0" xfId="5" applyFont="1" applyBorder="1"/>
    <xf numFmtId="172" fontId="30" fillId="0" borderId="0" xfId="5" applyNumberFormat="1" applyBorder="1" applyProtection="1">
      <protection hidden="1"/>
    </xf>
    <xf numFmtId="172" fontId="12" fillId="0" borderId="0" xfId="5" applyNumberFormat="1" applyFont="1" applyBorder="1"/>
    <xf numFmtId="172" fontId="30" fillId="0" borderId="0" xfId="5" applyNumberFormat="1" applyBorder="1"/>
    <xf numFmtId="165" fontId="7" fillId="6" borderId="0" xfId="3" applyNumberFormat="1" applyFont="1" applyFill="1" applyProtection="1"/>
    <xf numFmtId="170" fontId="12" fillId="0" borderId="0" xfId="0" applyNumberFormat="1" applyFont="1" applyProtection="1"/>
    <xf numFmtId="170" fontId="8" fillId="2" borderId="2" xfId="0" applyNumberFormat="1" applyFont="1" applyFill="1" applyBorder="1" applyProtection="1"/>
    <xf numFmtId="170" fontId="8" fillId="2" borderId="0" xfId="0" applyNumberFormat="1" applyFont="1" applyFill="1" applyBorder="1" applyProtection="1"/>
    <xf numFmtId="3" fontId="7" fillId="2" borderId="0" xfId="0" applyNumberFormat="1" applyFont="1" applyFill="1" applyProtection="1"/>
    <xf numFmtId="3" fontId="7" fillId="2" borderId="1" xfId="0" applyNumberFormat="1" applyFont="1" applyFill="1" applyBorder="1" applyProtection="1"/>
    <xf numFmtId="170" fontId="7" fillId="0" borderId="0" xfId="0" applyNumberFormat="1" applyFont="1" applyAlignment="1" applyProtection="1">
      <alignment horizontal="center"/>
    </xf>
    <xf numFmtId="170" fontId="7" fillId="0" borderId="0" xfId="0" applyNumberFormat="1" applyFont="1" applyFill="1" applyProtection="1"/>
    <xf numFmtId="170" fontId="0" fillId="0" borderId="0" xfId="0" applyNumberFormat="1" applyProtection="1"/>
    <xf numFmtId="170" fontId="39" fillId="0" borderId="0" xfId="0" applyNumberFormat="1" applyFont="1" applyAlignment="1" applyProtection="1">
      <alignment horizontal="right" vertical="center"/>
    </xf>
    <xf numFmtId="2" fontId="7" fillId="2" borderId="0" xfId="1" applyNumberFormat="1" applyFont="1" applyFill="1" applyProtection="1"/>
    <xf numFmtId="170" fontId="27" fillId="0" borderId="0" xfId="0" applyNumberFormat="1" applyFont="1" applyAlignment="1" applyProtection="1">
      <alignment horizontal="right"/>
    </xf>
    <xf numFmtId="170" fontId="41" fillId="0" borderId="0" xfId="0" applyNumberFormat="1" applyFont="1" applyProtection="1"/>
    <xf numFmtId="43" fontId="7" fillId="0" borderId="0" xfId="1" applyFont="1" applyFill="1" applyProtection="1"/>
    <xf numFmtId="165" fontId="7" fillId="2" borderId="0" xfId="2" applyFont="1" applyFill="1" applyProtection="1"/>
    <xf numFmtId="3" fontId="7" fillId="2" borderId="1" xfId="0" applyNumberFormat="1" applyFont="1" applyFill="1" applyBorder="1" applyAlignment="1" applyProtection="1">
      <alignment horizontal="right"/>
    </xf>
    <xf numFmtId="2" fontId="7" fillId="2" borderId="1" xfId="2" applyNumberFormat="1" applyFont="1" applyFill="1" applyBorder="1" applyProtection="1"/>
    <xf numFmtId="2" fontId="7" fillId="0" borderId="0" xfId="1" applyNumberFormat="1" applyFont="1" applyFill="1" applyProtection="1">
      <protection locked="0"/>
    </xf>
    <xf numFmtId="0" fontId="6" fillId="5" borderId="11" xfId="4" applyFont="1" applyFill="1" applyBorder="1" applyAlignment="1">
      <alignment horizontal="center" wrapText="1"/>
    </xf>
    <xf numFmtId="0" fontId="6" fillId="5" borderId="12" xfId="4" applyFont="1" applyFill="1" applyBorder="1" applyAlignment="1">
      <alignment horizontal="center" wrapText="1"/>
    </xf>
    <xf numFmtId="170" fontId="12" fillId="0" borderId="0" xfId="5" applyFont="1" applyAlignment="1">
      <alignment vertical="top"/>
    </xf>
    <xf numFmtId="170" fontId="12" fillId="0" borderId="0" xfId="5" applyFont="1" applyFill="1" applyAlignment="1">
      <alignment vertical="top"/>
    </xf>
    <xf numFmtId="170" fontId="12" fillId="0" borderId="0" xfId="5" applyFont="1" applyAlignment="1">
      <alignment vertical="top" wrapText="1"/>
    </xf>
    <xf numFmtId="170" fontId="34" fillId="0" borderId="0" xfId="5" applyFont="1" applyAlignment="1">
      <alignment vertical="top"/>
    </xf>
    <xf numFmtId="174" fontId="7" fillId="2" borderId="1" xfId="0" applyNumberFormat="1" applyFont="1" applyFill="1" applyBorder="1" applyProtection="1">
      <protection locked="0"/>
    </xf>
    <xf numFmtId="165" fontId="1" fillId="2" borderId="1" xfId="0" applyFont="1" applyFill="1" applyBorder="1" applyAlignment="1" applyProtection="1">
      <alignment horizontal="center"/>
    </xf>
    <xf numFmtId="167" fontId="7" fillId="2" borderId="0" xfId="0" applyNumberFormat="1" applyFont="1" applyFill="1" applyProtection="1"/>
    <xf numFmtId="167" fontId="7" fillId="2" borderId="1" xfId="0" applyNumberFormat="1" applyFont="1" applyFill="1" applyBorder="1" applyProtection="1"/>
    <xf numFmtId="170" fontId="0" fillId="2" borderId="0" xfId="0" applyNumberFormat="1" applyFill="1"/>
    <xf numFmtId="170" fontId="27" fillId="2" borderId="13" xfId="5" applyFont="1" applyFill="1" applyBorder="1" applyAlignment="1" applyProtection="1">
      <alignment horizontal="center"/>
      <protection hidden="1"/>
    </xf>
    <xf numFmtId="166" fontId="7" fillId="2" borderId="0" xfId="5" applyNumberFormat="1" applyFont="1" applyFill="1" applyBorder="1" applyAlignment="1" applyProtection="1">
      <alignment horizontal="center"/>
      <protection hidden="1"/>
    </xf>
    <xf numFmtId="165" fontId="7" fillId="2" borderId="0" xfId="5" applyNumberFormat="1" applyFont="1" applyFill="1" applyBorder="1" applyProtection="1">
      <protection hidden="1"/>
    </xf>
    <xf numFmtId="166" fontId="7" fillId="2" borderId="1" xfId="5" applyNumberFormat="1" applyFont="1" applyFill="1" applyBorder="1" applyAlignment="1" applyProtection="1">
      <alignment horizontal="center"/>
      <protection hidden="1"/>
    </xf>
    <xf numFmtId="165" fontId="7" fillId="2" borderId="1" xfId="5" applyNumberFormat="1" applyFont="1" applyFill="1" applyBorder="1" applyProtection="1">
      <protection hidden="1"/>
    </xf>
    <xf numFmtId="170" fontId="17" fillId="2" borderId="0" xfId="0" applyNumberFormat="1" applyFont="1" applyFill="1" applyBorder="1" applyAlignment="1" applyProtection="1">
      <alignment horizontal="center"/>
    </xf>
    <xf numFmtId="165" fontId="8" fillId="2" borderId="0" xfId="0" applyNumberFormat="1" applyFont="1" applyFill="1" applyBorder="1" applyProtection="1"/>
    <xf numFmtId="167" fontId="7" fillId="2" borderId="0" xfId="0" applyNumberFormat="1" applyFont="1" applyFill="1" applyBorder="1"/>
    <xf numFmtId="167" fontId="7" fillId="2" borderId="1" xfId="0" applyNumberFormat="1" applyFont="1" applyFill="1" applyBorder="1"/>
    <xf numFmtId="170" fontId="7" fillId="2" borderId="0" xfId="0" quotePrefix="1" applyNumberFormat="1" applyFont="1" applyFill="1" applyBorder="1" applyAlignment="1">
      <alignment horizontal="center"/>
    </xf>
    <xf numFmtId="170" fontId="7" fillId="2" borderId="1" xfId="0" applyNumberFormat="1" applyFont="1" applyFill="1" applyBorder="1" applyAlignment="1">
      <alignment horizontal="center"/>
    </xf>
    <xf numFmtId="173" fontId="7" fillId="6" borderId="0" xfId="3" applyNumberFormat="1" applyFont="1" applyFill="1" applyProtection="1"/>
    <xf numFmtId="173" fontId="7" fillId="2" borderId="0" xfId="3" applyNumberFormat="1" applyFont="1" applyFill="1" applyProtection="1"/>
    <xf numFmtId="173" fontId="7" fillId="2" borderId="0" xfId="3" applyNumberFormat="1" applyFont="1" applyFill="1" applyBorder="1" applyProtection="1"/>
    <xf numFmtId="1" fontId="7" fillId="2" borderId="0" xfId="0" applyNumberFormat="1" applyFont="1" applyFill="1" applyAlignment="1" applyProtection="1">
      <alignment horizontal="center"/>
    </xf>
    <xf numFmtId="170" fontId="16" fillId="0" borderId="0" xfId="0" quotePrefix="1" applyNumberFormat="1" applyFont="1" applyAlignment="1" applyProtection="1">
      <alignment horizontal="left"/>
    </xf>
    <xf numFmtId="170" fontId="12" fillId="0" borderId="0" xfId="0" applyNumberFormat="1" applyFont="1" applyAlignment="1">
      <alignment wrapText="1"/>
    </xf>
    <xf numFmtId="0" fontId="8" fillId="2" borderId="0" xfId="0" applyNumberFormat="1" applyFont="1" applyFill="1" applyBorder="1" applyAlignment="1" applyProtection="1">
      <alignment horizontal="center" wrapText="1"/>
    </xf>
    <xf numFmtId="0" fontId="0" fillId="0" borderId="0" xfId="0" applyNumberFormat="1" applyBorder="1" applyAlignment="1" applyProtection="1">
      <alignment horizontal="center" wrapText="1"/>
    </xf>
    <xf numFmtId="2" fontId="7" fillId="2" borderId="0" xfId="2" applyNumberFormat="1" applyFont="1" applyFill="1" applyBorder="1" applyProtection="1"/>
    <xf numFmtId="166" fontId="7" fillId="2" borderId="0" xfId="0" applyNumberFormat="1" applyFont="1" applyFill="1" applyBorder="1"/>
    <xf numFmtId="166" fontId="7" fillId="2" borderId="1" xfId="0" applyNumberFormat="1" applyFont="1" applyFill="1" applyBorder="1"/>
    <xf numFmtId="167" fontId="7" fillId="2" borderId="0" xfId="0" applyNumberFormat="1" applyFont="1" applyFill="1" applyProtection="1">
      <protection locked="0"/>
    </xf>
    <xf numFmtId="167" fontId="7" fillId="2" borderId="1" xfId="0" applyNumberFormat="1" applyFont="1" applyFill="1" applyBorder="1" applyProtection="1">
      <protection locked="0"/>
    </xf>
    <xf numFmtId="1" fontId="7" fillId="2" borderId="0" xfId="0" applyNumberFormat="1" applyFont="1" applyFill="1" applyProtection="1"/>
    <xf numFmtId="1" fontId="7" fillId="2" borderId="1" xfId="0" applyNumberFormat="1" applyFont="1" applyFill="1" applyBorder="1" applyProtection="1"/>
    <xf numFmtId="165" fontId="2" fillId="0" borderId="0" xfId="0" applyFont="1" applyFill="1"/>
    <xf numFmtId="170" fontId="8" fillId="0" borderId="0" xfId="0" applyNumberFormat="1" applyFont="1" applyFill="1" applyBorder="1" applyProtection="1"/>
    <xf numFmtId="3" fontId="7" fillId="0" borderId="0" xfId="0" applyNumberFormat="1" applyFont="1" applyFill="1" applyProtection="1"/>
    <xf numFmtId="3" fontId="7" fillId="0" borderId="0" xfId="0" applyNumberFormat="1" applyFont="1" applyFill="1" applyBorder="1" applyProtection="1"/>
    <xf numFmtId="3" fontId="7" fillId="3" borderId="0" xfId="0" applyNumberFormat="1" applyFont="1" applyFill="1" applyAlignment="1" applyProtection="1">
      <alignment horizontal="left"/>
      <protection locked="0"/>
    </xf>
    <xf numFmtId="170" fontId="33" fillId="0" borderId="0" xfId="6" applyNumberFormat="1" applyFont="1" applyFill="1" applyAlignment="1" applyProtection="1">
      <protection locked="0"/>
    </xf>
    <xf numFmtId="14" fontId="7" fillId="0" borderId="0" xfId="0" applyNumberFormat="1" applyFont="1" applyFill="1" applyProtection="1">
      <protection locked="0"/>
    </xf>
    <xf numFmtId="169" fontId="7" fillId="0" borderId="0" xfId="0" applyNumberFormat="1" applyFont="1" applyFill="1"/>
    <xf numFmtId="14" fontId="7" fillId="0" borderId="0" xfId="0" applyNumberFormat="1" applyFont="1" applyProtection="1"/>
    <xf numFmtId="168" fontId="45" fillId="3" borderId="0" xfId="0" applyNumberFormat="1" applyFont="1" applyFill="1" applyAlignment="1" applyProtection="1">
      <alignment horizontal="right"/>
      <protection locked="0"/>
    </xf>
    <xf numFmtId="165" fontId="45" fillId="3" borderId="0" xfId="0" applyNumberFormat="1" applyFont="1" applyFill="1" applyAlignment="1" applyProtection="1">
      <alignment horizontal="right"/>
      <protection locked="0"/>
    </xf>
    <xf numFmtId="165" fontId="45" fillId="3" borderId="1" xfId="0" applyNumberFormat="1" applyFont="1" applyFill="1" applyBorder="1" applyAlignment="1" applyProtection="1">
      <alignment horizontal="right"/>
      <protection locked="0"/>
    </xf>
    <xf numFmtId="3" fontId="45" fillId="3" borderId="0" xfId="0" applyNumberFormat="1" applyFont="1" applyFill="1" applyProtection="1">
      <protection locked="0"/>
    </xf>
    <xf numFmtId="174" fontId="45" fillId="3" borderId="0" xfId="0" applyNumberFormat="1" applyFont="1" applyFill="1" applyProtection="1">
      <protection locked="0"/>
    </xf>
    <xf numFmtId="3" fontId="45" fillId="3" borderId="1" xfId="0" applyNumberFormat="1" applyFont="1" applyFill="1" applyBorder="1" applyProtection="1">
      <protection locked="0"/>
    </xf>
    <xf numFmtId="174" fontId="45" fillId="3" borderId="1" xfId="0" applyNumberFormat="1" applyFont="1" applyFill="1" applyBorder="1" applyProtection="1">
      <protection locked="0"/>
    </xf>
    <xf numFmtId="167" fontId="45" fillId="3" borderId="0" xfId="0" applyNumberFormat="1" applyFont="1" applyFill="1" applyProtection="1">
      <protection locked="0"/>
    </xf>
    <xf numFmtId="167" fontId="45" fillId="3" borderId="1" xfId="0" applyNumberFormat="1" applyFont="1" applyFill="1" applyBorder="1" applyProtection="1">
      <protection locked="0"/>
    </xf>
    <xf numFmtId="168" fontId="46" fillId="5" borderId="0" xfId="0" applyNumberFormat="1" applyFont="1" applyFill="1" applyBorder="1" applyProtection="1"/>
    <xf numFmtId="167" fontId="46" fillId="5" borderId="0" xfId="0" applyNumberFormat="1" applyFont="1" applyFill="1" applyProtection="1"/>
    <xf numFmtId="168" fontId="46" fillId="5" borderId="1" xfId="0" applyNumberFormat="1" applyFont="1" applyFill="1" applyBorder="1" applyProtection="1"/>
    <xf numFmtId="167" fontId="46" fillId="5" borderId="1" xfId="0" applyNumberFormat="1" applyFont="1" applyFill="1" applyBorder="1" applyProtection="1"/>
    <xf numFmtId="168" fontId="46" fillId="5" borderId="0" xfId="0" applyNumberFormat="1" applyFont="1" applyFill="1" applyProtection="1"/>
    <xf numFmtId="170" fontId="47" fillId="4" borderId="14" xfId="0" applyNumberFormat="1" applyFont="1" applyFill="1" applyBorder="1" applyAlignment="1" applyProtection="1">
      <alignment horizontal="right" vertical="center"/>
    </xf>
    <xf numFmtId="2" fontId="47" fillId="4" borderId="15" xfId="1" applyNumberFormat="1" applyFont="1" applyFill="1" applyBorder="1" applyProtection="1"/>
    <xf numFmtId="168" fontId="46" fillId="4" borderId="0" xfId="1" applyNumberFormat="1" applyFont="1" applyFill="1" applyBorder="1" applyProtection="1"/>
    <xf numFmtId="3" fontId="45" fillId="3" borderId="0" xfId="0" applyNumberFormat="1" applyFont="1" applyFill="1" applyAlignment="1" applyProtection="1">
      <alignment horizontal="right"/>
      <protection locked="0"/>
    </xf>
    <xf numFmtId="3" fontId="45" fillId="3" borderId="1" xfId="0" applyNumberFormat="1" applyFont="1" applyFill="1" applyBorder="1" applyAlignment="1" applyProtection="1">
      <alignment horizontal="right"/>
      <protection locked="0"/>
    </xf>
    <xf numFmtId="3" fontId="45" fillId="3" borderId="0" xfId="0" applyNumberFormat="1" applyFont="1" applyFill="1" applyBorder="1" applyProtection="1">
      <protection locked="0"/>
    </xf>
    <xf numFmtId="3" fontId="45" fillId="3" borderId="0" xfId="0" applyNumberFormat="1" applyFont="1" applyFill="1" applyBorder="1" applyAlignment="1" applyProtection="1">
      <alignment horizontal="right"/>
      <protection locked="0"/>
    </xf>
    <xf numFmtId="170" fontId="49" fillId="4" borderId="14" xfId="0" applyNumberFormat="1" applyFont="1" applyFill="1" applyBorder="1" applyAlignment="1" applyProtection="1">
      <alignment horizontal="right" vertical="center"/>
    </xf>
    <xf numFmtId="168" fontId="46" fillId="4" borderId="0" xfId="0" applyNumberFormat="1" applyFont="1" applyFill="1" applyBorder="1" applyAlignment="1" applyProtection="1">
      <alignment horizontal="right" vertical="center"/>
    </xf>
    <xf numFmtId="167" fontId="46" fillId="4" borderId="0" xfId="0" applyNumberFormat="1" applyFont="1" applyFill="1" applyBorder="1" applyAlignment="1" applyProtection="1">
      <alignment horizontal="right" vertical="center"/>
    </xf>
    <xf numFmtId="170" fontId="43" fillId="3" borderId="6" xfId="5" applyFont="1" applyFill="1" applyBorder="1" applyAlignment="1" applyProtection="1">
      <alignment horizontal="center"/>
      <protection locked="0"/>
    </xf>
    <xf numFmtId="170" fontId="43" fillId="3" borderId="8" xfId="5" applyFont="1" applyFill="1" applyBorder="1" applyAlignment="1" applyProtection="1">
      <alignment horizontal="center"/>
      <protection locked="0"/>
    </xf>
    <xf numFmtId="170" fontId="44" fillId="3" borderId="8" xfId="5" applyFont="1" applyFill="1" applyBorder="1" applyAlignment="1" applyProtection="1">
      <alignment horizontal="center"/>
      <protection locked="0"/>
    </xf>
    <xf numFmtId="14" fontId="43" fillId="3" borderId="10" xfId="5" applyNumberFormat="1" applyFont="1" applyFill="1" applyBorder="1" applyAlignment="1" applyProtection="1">
      <alignment horizontal="center"/>
      <protection locked="0"/>
    </xf>
    <xf numFmtId="170" fontId="8" fillId="2" borderId="2" xfId="5" applyFont="1" applyFill="1" applyBorder="1"/>
    <xf numFmtId="170" fontId="8" fillId="2" borderId="2" xfId="5" applyFont="1" applyFill="1" applyBorder="1" applyAlignment="1">
      <alignment horizontal="center"/>
    </xf>
    <xf numFmtId="170" fontId="8" fillId="2" borderId="0" xfId="5" applyFont="1" applyFill="1" applyBorder="1" applyAlignment="1" applyProtection="1">
      <alignment horizontal="center"/>
    </xf>
    <xf numFmtId="170" fontId="8" fillId="2" borderId="0" xfId="5" applyFont="1" applyFill="1" applyBorder="1" applyAlignment="1">
      <alignment horizontal="center"/>
    </xf>
    <xf numFmtId="170" fontId="9" fillId="2" borderId="1" xfId="5" applyFont="1" applyFill="1" applyBorder="1"/>
    <xf numFmtId="165" fontId="8" fillId="2" borderId="1" xfId="5" applyNumberFormat="1" applyFont="1" applyFill="1" applyBorder="1" applyAlignment="1" applyProtection="1">
      <alignment horizontal="center"/>
    </xf>
    <xf numFmtId="170" fontId="12" fillId="2" borderId="2" xfId="0" applyNumberFormat="1" applyFont="1" applyFill="1" applyBorder="1" applyProtection="1"/>
    <xf numFmtId="170" fontId="7" fillId="2" borderId="2" xfId="0" applyNumberFormat="1" applyFont="1" applyFill="1" applyBorder="1" applyProtection="1"/>
    <xf numFmtId="170" fontId="52" fillId="2" borderId="0" xfId="0" applyNumberFormat="1" applyFont="1" applyFill="1" applyBorder="1" applyAlignment="1" applyProtection="1">
      <alignment horizontal="center"/>
    </xf>
    <xf numFmtId="170" fontId="9" fillId="2" borderId="1" xfId="0" applyNumberFormat="1" applyFont="1" applyFill="1" applyBorder="1" applyProtection="1"/>
    <xf numFmtId="165" fontId="12" fillId="0" borderId="5" xfId="0" applyFont="1" applyFill="1" applyBorder="1"/>
    <xf numFmtId="165" fontId="12" fillId="0" borderId="7" xfId="0" applyFont="1" applyFill="1" applyBorder="1"/>
    <xf numFmtId="165" fontId="12" fillId="0" borderId="9" xfId="0" applyFont="1" applyFill="1" applyBorder="1" applyAlignment="1">
      <alignment wrapText="1"/>
    </xf>
    <xf numFmtId="165" fontId="6" fillId="0" borderId="0" xfId="0" applyFont="1" applyAlignment="1" applyProtection="1">
      <alignment horizontal="left"/>
    </xf>
    <xf numFmtId="165" fontId="7" fillId="0" borderId="0" xfId="0" applyFont="1" applyAlignment="1" applyProtection="1">
      <alignment horizontal="right"/>
    </xf>
    <xf numFmtId="165" fontId="8" fillId="2" borderId="2" xfId="0" applyFont="1" applyFill="1" applyBorder="1" applyAlignment="1" applyProtection="1">
      <alignment horizontal="center"/>
    </xf>
    <xf numFmtId="165" fontId="8" fillId="2" borderId="0" xfId="0" applyFont="1" applyFill="1" applyBorder="1" applyAlignment="1" applyProtection="1">
      <alignment horizontal="center"/>
    </xf>
    <xf numFmtId="165" fontId="9" fillId="2" borderId="1" xfId="0" applyFont="1" applyFill="1" applyBorder="1" applyProtection="1"/>
    <xf numFmtId="165" fontId="8" fillId="2" borderId="1" xfId="0" applyFont="1" applyFill="1" applyBorder="1" applyAlignment="1" applyProtection="1">
      <alignment horizontal="center"/>
    </xf>
    <xf numFmtId="165" fontId="10" fillId="2" borderId="1" xfId="0" applyFont="1" applyFill="1" applyBorder="1" applyAlignment="1" applyProtection="1">
      <alignment horizontal="center"/>
    </xf>
    <xf numFmtId="170" fontId="7" fillId="3" borderId="0" xfId="11" applyFont="1" applyFill="1" applyAlignment="1" applyProtection="1">
      <alignment horizontal="right"/>
    </xf>
    <xf numFmtId="170" fontId="8" fillId="2" borderId="1" xfId="0" applyNumberFormat="1" applyFont="1" applyFill="1" applyBorder="1" applyAlignment="1" applyProtection="1">
      <alignment horizontal="right"/>
    </xf>
    <xf numFmtId="170" fontId="53" fillId="0" borderId="0" xfId="6" applyNumberFormat="1" applyFont="1" applyFill="1" applyAlignment="1" applyProtection="1">
      <protection locked="0"/>
    </xf>
    <xf numFmtId="170" fontId="54" fillId="0" borderId="0" xfId="0" applyNumberFormat="1" applyFont="1" applyAlignment="1" applyProtection="1">
      <alignment horizontal="left"/>
    </xf>
    <xf numFmtId="170" fontId="8" fillId="2" borderId="0" xfId="0" quotePrefix="1" applyNumberFormat="1" applyFont="1" applyFill="1" applyBorder="1" applyAlignment="1" applyProtection="1">
      <alignment horizontal="right"/>
    </xf>
    <xf numFmtId="170" fontId="8" fillId="2" borderId="0" xfId="0" applyNumberFormat="1" applyFont="1" applyFill="1" applyBorder="1" applyAlignment="1" applyProtection="1">
      <alignment horizontal="right"/>
    </xf>
    <xf numFmtId="165" fontId="2" fillId="0" borderId="0" xfId="0" applyFont="1" applyAlignment="1" applyProtection="1">
      <alignment horizontal="right"/>
    </xf>
    <xf numFmtId="170" fontId="7" fillId="6" borderId="0" xfId="5" applyFont="1" applyFill="1" applyAlignment="1" applyProtection="1">
      <alignment horizontal="center"/>
    </xf>
    <xf numFmtId="165" fontId="6" fillId="0" borderId="3" xfId="0" applyFont="1" applyBorder="1" applyAlignment="1">
      <alignment horizontal="center"/>
    </xf>
    <xf numFmtId="165" fontId="6" fillId="0" borderId="4" xfId="0" applyFont="1" applyBorder="1" applyAlignment="1">
      <alignment horizontal="center"/>
    </xf>
    <xf numFmtId="170" fontId="8" fillId="2" borderId="2" xfId="0" applyNumberFormat="1" applyFont="1" applyFill="1" applyBorder="1" applyAlignment="1" applyProtection="1">
      <alignment horizontal="center" wrapText="1"/>
    </xf>
    <xf numFmtId="170" fontId="0" fillId="0" borderId="0" xfId="0" applyNumberFormat="1" applyAlignment="1">
      <alignment wrapText="1"/>
    </xf>
    <xf numFmtId="170" fontId="0" fillId="0" borderId="1" xfId="0" applyNumberFormat="1" applyBorder="1" applyAlignment="1">
      <alignment wrapText="1"/>
    </xf>
    <xf numFmtId="0" fontId="8" fillId="2" borderId="2" xfId="0" applyNumberFormat="1" applyFont="1" applyFill="1" applyBorder="1" applyAlignment="1" applyProtection="1">
      <alignment horizontal="center" wrapText="1"/>
    </xf>
    <xf numFmtId="0" fontId="0" fillId="0" borderId="1" xfId="0" applyNumberFormat="1" applyBorder="1" applyAlignment="1" applyProtection="1">
      <alignment horizontal="center" wrapText="1"/>
    </xf>
    <xf numFmtId="170" fontId="0" fillId="0" borderId="1" xfId="0" applyNumberFormat="1" applyBorder="1" applyAlignment="1" applyProtection="1">
      <alignment wrapText="1"/>
    </xf>
    <xf numFmtId="170" fontId="0" fillId="0" borderId="1" xfId="0" applyNumberFormat="1" applyBorder="1" applyAlignment="1" applyProtection="1">
      <alignment horizontal="center" wrapText="1"/>
    </xf>
  </cellXfs>
  <cellStyles count="12">
    <cellStyle name="Comma" xfId="1" builtinId="3"/>
    <cellStyle name="Comma 3" xfId="7"/>
    <cellStyle name="Hyperlink" xfId="6" builtinId="8"/>
    <cellStyle name="Normal" xfId="0" builtinId="0"/>
    <cellStyle name="Normal 2" xfId="3"/>
    <cellStyle name="Normal 2 2" xfId="8"/>
    <cellStyle name="Normal 2 3" xfId="9"/>
    <cellStyle name="Normal 3" xfId="5"/>
    <cellStyle name="Normal 3 2" xfId="4"/>
    <cellStyle name="Normal 3 3" xfId="10"/>
    <cellStyle name="Normal 4" xfId="2"/>
    <cellStyle name="Normal 5" xfId="1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6EFCE"/>
      <color rgb="FF006600"/>
      <color rgb="FFD7E6E6"/>
      <color rgb="FFC037C0"/>
      <color rgb="FFFF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4601400180668478E-2"/>
          <c:y val="5.1219078857455254E-2"/>
          <c:w val="0.89174488790342465"/>
          <c:h val="0.73499154628143604"/>
        </c:manualLayout>
      </c:layout>
      <c:scatterChart>
        <c:scatterStyle val="lineMarker"/>
        <c:varyColors val="0"/>
        <c:ser>
          <c:idx val="2"/>
          <c:order val="0"/>
          <c:tx>
            <c:strRef>
              <c:f>'Orphelins de père'!$H$1</c:f>
              <c:strCache>
                <c:ptCount val="1"/>
                <c:pt idx="0">
                  <c:v>Hommes, depuis la naissance</c:v>
                </c:pt>
              </c:strCache>
            </c:strRef>
          </c:tx>
          <c:spPr>
            <a:ln>
              <a:solidFill>
                <a:srgbClr val="0070C0"/>
              </a:solidFill>
              <a:prstDash val="solid"/>
            </a:ln>
          </c:spPr>
          <c:marker>
            <c:symbol val="none"/>
          </c:marker>
          <c:xVal>
            <c:numRef>
              <c:f>'Orphelins de père'!$K$8:$K$12</c:f>
              <c:numCache>
                <c:formatCode>0.0_)</c:formatCode>
                <c:ptCount val="5"/>
                <c:pt idx="0">
                  <c:v>1979.637200155282</c:v>
                </c:pt>
                <c:pt idx="1">
                  <c:v>1977.7662174608372</c:v>
                </c:pt>
                <c:pt idx="2">
                  <c:v>1976.2029158869498</c:v>
                </c:pt>
                <c:pt idx="3">
                  <c:v>1974.9831849263182</c:v>
                </c:pt>
                <c:pt idx="4">
                  <c:v>1974.9177445389921</c:v>
                </c:pt>
              </c:numCache>
            </c:numRef>
          </c:xVal>
          <c:yVal>
            <c:numRef>
              <c:f>'Orphelins de père'!$J$8:$J$12</c:f>
              <c:numCache>
                <c:formatCode>0.000_)</c:formatCode>
                <c:ptCount val="5"/>
                <c:pt idx="0">
                  <c:v>0.29535906622344765</c:v>
                </c:pt>
                <c:pt idx="1">
                  <c:v>0.30835121490220208</c:v>
                </c:pt>
                <c:pt idx="2">
                  <c:v>0.29708015023560008</c:v>
                </c:pt>
                <c:pt idx="3">
                  <c:v>0.31572896739183587</c:v>
                </c:pt>
                <c:pt idx="4">
                  <c:v>0.34401683346929957</c:v>
                </c:pt>
              </c:numCache>
            </c:numRef>
          </c:yVal>
          <c:smooth val="0"/>
        </c:ser>
        <c:ser>
          <c:idx val="0"/>
          <c:order val="1"/>
          <c:tx>
            <c:strRef>
              <c:f>'Orphelins de père'!$G$15</c:f>
              <c:strCache>
                <c:ptCount val="1"/>
                <c:pt idx="0">
                  <c:v>Hommes, depuis le mariage</c:v>
                </c:pt>
              </c:strCache>
            </c:strRef>
          </c:tx>
          <c:spPr>
            <a:ln>
              <a:noFill/>
            </a:ln>
          </c:spPr>
          <c:marker>
            <c:symbol val="square"/>
            <c:size val="6"/>
            <c:spPr>
              <a:solidFill>
                <a:srgbClr val="0070C0"/>
              </a:solidFill>
            </c:spPr>
          </c:marker>
          <c:xVal>
            <c:numRef>
              <c:f>'Orphelins de père'!$K$25</c:f>
              <c:numCache>
                <c:formatCode>0.0_)</c:formatCode>
                <c:ptCount val="1"/>
                <c:pt idx="0">
                  <c:v>1983.0229018000844</c:v>
                </c:pt>
              </c:numCache>
            </c:numRef>
          </c:xVal>
          <c:yVal>
            <c:numRef>
              <c:f>'Orphelins de père'!$J$25</c:f>
              <c:numCache>
                <c:formatCode>0.000_)</c:formatCode>
                <c:ptCount val="1"/>
                <c:pt idx="0">
                  <c:v>0.2910349344066252</c:v>
                </c:pt>
              </c:numCache>
            </c:numRef>
          </c:yVal>
          <c:smooth val="0"/>
        </c:ser>
        <c:ser>
          <c:idx val="1"/>
          <c:order val="2"/>
          <c:tx>
            <c:strRef>
              <c:f>'Orphelins de père'!$G$27</c:f>
              <c:strCache>
                <c:ptCount val="1"/>
                <c:pt idx="0">
                  <c:v>Hommes avant le mariage</c:v>
                </c:pt>
              </c:strCache>
            </c:strRef>
          </c:tx>
          <c:spPr>
            <a:ln>
              <a:solidFill>
                <a:srgbClr val="0070C0"/>
              </a:solidFill>
              <a:prstDash val="sysDash"/>
            </a:ln>
          </c:spPr>
          <c:marker>
            <c:symbol val="none"/>
          </c:marker>
          <c:xVal>
            <c:numRef>
              <c:f>'Orphelins de père'!$K$32:$K$36</c:f>
              <c:numCache>
                <c:formatCode>0.0_)</c:formatCode>
                <c:ptCount val="5"/>
                <c:pt idx="0">
                  <c:v>1972.3659774429052</c:v>
                </c:pt>
                <c:pt idx="1">
                  <c:v>1966.9358168526201</c:v>
                </c:pt>
                <c:pt idx="2">
                  <c:v>1961.323866362942</c:v>
                </c:pt>
                <c:pt idx="3">
                  <c:v>1955.8432681983886</c:v>
                </c:pt>
                <c:pt idx="4">
                  <c:v>1950.4092271415761</c:v>
                </c:pt>
              </c:numCache>
            </c:numRef>
          </c:xVal>
          <c:yVal>
            <c:numRef>
              <c:f>'Orphelins de père'!$J$32:$J$36</c:f>
              <c:numCache>
                <c:formatCode>0.000_)</c:formatCode>
                <c:ptCount val="5"/>
                <c:pt idx="0">
                  <c:v>0.34643130295225832</c:v>
                </c:pt>
                <c:pt idx="1">
                  <c:v>0.36066385993833361</c:v>
                </c:pt>
                <c:pt idx="2">
                  <c:v>0.38461295547454699</c:v>
                </c:pt>
                <c:pt idx="3">
                  <c:v>0.44816152336465598</c:v>
                </c:pt>
                <c:pt idx="4">
                  <c:v>0.49718228564489697</c:v>
                </c:pt>
              </c:numCache>
            </c:numRef>
          </c:yVal>
          <c:smooth val="0"/>
        </c:ser>
        <c:ser>
          <c:idx val="3"/>
          <c:order val="3"/>
          <c:tx>
            <c:strRef>
              <c:f>'Orphelins de mère'!$H$1</c:f>
              <c:strCache>
                <c:ptCount val="1"/>
                <c:pt idx="0">
                  <c:v>Femmes, depuis la naissance</c:v>
                </c:pt>
              </c:strCache>
            </c:strRef>
          </c:tx>
          <c:spPr>
            <a:ln>
              <a:solidFill>
                <a:srgbClr val="C037C0"/>
              </a:solidFill>
            </a:ln>
          </c:spPr>
          <c:marker>
            <c:symbol val="none"/>
          </c:marker>
          <c:xVal>
            <c:numRef>
              <c:f>'Orphelins de mère'!$K$8:$K$14</c:f>
              <c:numCache>
                <c:formatCode>0.0_)</c:formatCode>
                <c:ptCount val="7"/>
                <c:pt idx="0">
                  <c:v>1981.0608399346193</c:v>
                </c:pt>
                <c:pt idx="1">
                  <c:v>1979.2649332027343</c:v>
                </c:pt>
                <c:pt idx="2">
                  <c:v>1977.6509128200203</c:v>
                </c:pt>
                <c:pt idx="3">
                  <c:v>1976.2024850025107</c:v>
                </c:pt>
                <c:pt idx="4">
                  <c:v>1975.2442024371992</c:v>
                </c:pt>
                <c:pt idx="5">
                  <c:v>1974.1968573268646</c:v>
                </c:pt>
                <c:pt idx="6">
                  <c:v>1974.1276916891889</c:v>
                </c:pt>
              </c:numCache>
            </c:numRef>
          </c:xVal>
          <c:yVal>
            <c:numRef>
              <c:f>'Orphelins de mère'!$J$8:$J$14</c:f>
              <c:numCache>
                <c:formatCode>0.000_)</c:formatCode>
                <c:ptCount val="7"/>
                <c:pt idx="0">
                  <c:v>0.20568563685646934</c:v>
                </c:pt>
                <c:pt idx="1">
                  <c:v>0.19562430646893947</c:v>
                </c:pt>
                <c:pt idx="2">
                  <c:v>0.20331868725825153</c:v>
                </c:pt>
                <c:pt idx="3">
                  <c:v>0.21823772025688037</c:v>
                </c:pt>
                <c:pt idx="4">
                  <c:v>0.20646760664299468</c:v>
                </c:pt>
                <c:pt idx="5">
                  <c:v>0.23940896989824401</c:v>
                </c:pt>
                <c:pt idx="6">
                  <c:v>0.27559514706385935</c:v>
                </c:pt>
              </c:numCache>
            </c:numRef>
          </c:yVal>
          <c:smooth val="0"/>
        </c:ser>
        <c:ser>
          <c:idx val="4"/>
          <c:order val="4"/>
          <c:tx>
            <c:strRef>
              <c:f>'Orphelins de mère'!$G$16</c:f>
              <c:strCache>
                <c:ptCount val="1"/>
                <c:pt idx="0">
                  <c:v>Femmes, depuis le mariage</c:v>
                </c:pt>
              </c:strCache>
            </c:strRef>
          </c:tx>
          <c:spPr>
            <a:ln>
              <a:noFill/>
            </a:ln>
          </c:spPr>
          <c:marker>
            <c:symbol val="diamond"/>
            <c:size val="8"/>
            <c:spPr>
              <a:solidFill>
                <a:srgbClr val="C037C0"/>
              </a:solidFill>
              <a:ln>
                <a:solidFill>
                  <a:srgbClr val="C037C0"/>
                </a:solidFill>
              </a:ln>
            </c:spPr>
          </c:marker>
          <c:xVal>
            <c:numRef>
              <c:f>'Orphelins de mère'!$K$28</c:f>
              <c:numCache>
                <c:formatCode>0.0_)</c:formatCode>
                <c:ptCount val="1"/>
                <c:pt idx="0">
                  <c:v>1980.9824371993527</c:v>
                </c:pt>
              </c:numCache>
            </c:numRef>
          </c:xVal>
          <c:yVal>
            <c:numRef>
              <c:f>'Orphelins de mère'!$J$28</c:f>
              <c:numCache>
                <c:formatCode>0.000_)</c:formatCode>
                <c:ptCount val="1"/>
                <c:pt idx="0">
                  <c:v>0.20174776574134545</c:v>
                </c:pt>
              </c:numCache>
            </c:numRef>
          </c:yVal>
          <c:smooth val="0"/>
        </c:ser>
        <c:ser>
          <c:idx val="5"/>
          <c:order val="5"/>
          <c:tx>
            <c:strRef>
              <c:f>'Orphelins de mère'!$G$30</c:f>
              <c:strCache>
                <c:ptCount val="1"/>
                <c:pt idx="0">
                  <c:v>Femmes avant le mariage </c:v>
                </c:pt>
              </c:strCache>
            </c:strRef>
          </c:tx>
          <c:spPr>
            <a:ln>
              <a:solidFill>
                <a:srgbClr val="C037C0"/>
              </a:solidFill>
              <a:prstDash val="sysDash"/>
            </a:ln>
          </c:spPr>
          <c:marker>
            <c:symbol val="none"/>
          </c:marker>
          <c:xVal>
            <c:numRef>
              <c:f>'Orphelins de mère'!$K$35:$K$39</c:f>
              <c:numCache>
                <c:formatCode>0.0_)</c:formatCode>
                <c:ptCount val="5"/>
                <c:pt idx="0">
                  <c:v>1972.6030788935709</c:v>
                </c:pt>
                <c:pt idx="1">
                  <c:v>1967.1921291548031</c:v>
                </c:pt>
                <c:pt idx="2">
                  <c:v>1961.5739887867333</c:v>
                </c:pt>
                <c:pt idx="3">
                  <c:v>1956.213085203914</c:v>
                </c:pt>
                <c:pt idx="4">
                  <c:v>1950.773863233542</c:v>
                </c:pt>
              </c:numCache>
            </c:numRef>
          </c:xVal>
          <c:yVal>
            <c:numRef>
              <c:f>'Orphelins de mère'!$J$35:$J$39</c:f>
              <c:numCache>
                <c:formatCode>0.000_)</c:formatCode>
                <c:ptCount val="5"/>
                <c:pt idx="0">
                  <c:v>0.23294262265543186</c:v>
                </c:pt>
                <c:pt idx="1">
                  <c:v>0.24546174020025735</c:v>
                </c:pt>
                <c:pt idx="2">
                  <c:v>0.27959967703044664</c:v>
                </c:pt>
                <c:pt idx="3">
                  <c:v>0.31292687081514403</c:v>
                </c:pt>
                <c:pt idx="4">
                  <c:v>0.39053772830935896</c:v>
                </c:pt>
              </c:numCache>
            </c:numRef>
          </c:yVal>
          <c:smooth val="0"/>
        </c:ser>
        <c:dLbls>
          <c:showLegendKey val="0"/>
          <c:showVal val="0"/>
          <c:showCatName val="0"/>
          <c:showSerName val="0"/>
          <c:showPercent val="0"/>
          <c:showBubbleSize val="0"/>
        </c:dLbls>
        <c:axId val="109740032"/>
        <c:axId val="109742720"/>
      </c:scatterChart>
      <c:valAx>
        <c:axId val="109740032"/>
        <c:scaling>
          <c:orientation val="minMax"/>
        </c:scaling>
        <c:delete val="0"/>
        <c:axPos val="b"/>
        <c:title>
          <c:tx>
            <c:rich>
              <a:bodyPr/>
              <a:lstStyle/>
              <a:p>
                <a:pPr>
                  <a:defRPr/>
                </a:pPr>
                <a:r>
                  <a:rPr lang="en-GB"/>
                  <a:t>Année</a:t>
                </a:r>
              </a:p>
            </c:rich>
          </c:tx>
          <c:layout>
            <c:manualLayout>
              <c:xMode val="edge"/>
              <c:yMode val="edge"/>
              <c:x val="0.4951401588287162"/>
              <c:y val="0.85384761904761963"/>
            </c:manualLayout>
          </c:layout>
          <c:overlay val="0"/>
        </c:title>
        <c:numFmt formatCode="0" sourceLinked="0"/>
        <c:majorTickMark val="out"/>
        <c:minorTickMark val="none"/>
        <c:tickLblPos val="low"/>
        <c:spPr>
          <a:ln>
            <a:solidFill>
              <a:schemeClr val="tx1">
                <a:lumMod val="65000"/>
                <a:lumOff val="35000"/>
              </a:schemeClr>
            </a:solidFill>
          </a:ln>
        </c:spPr>
        <c:crossAx val="109742720"/>
        <c:crossesAt val="-1"/>
        <c:crossBetween val="midCat"/>
      </c:valAx>
      <c:valAx>
        <c:axId val="109742720"/>
        <c:scaling>
          <c:orientation val="minMax"/>
        </c:scaling>
        <c:delete val="0"/>
        <c:axPos val="l"/>
        <c:majorGridlines>
          <c:spPr>
            <a:ln>
              <a:solidFill>
                <a:schemeClr val="bg1">
                  <a:lumMod val="75000"/>
                </a:schemeClr>
              </a:solidFill>
            </a:ln>
          </c:spPr>
        </c:majorGridlines>
        <c:title>
          <c:tx>
            <c:strRef>
              <c:f>Introduction!$D$12</c:f>
              <c:strCache>
                <c:ptCount val="1"/>
                <c:pt idx="0">
                  <c:v>30q30</c:v>
                </c:pt>
              </c:strCache>
            </c:strRef>
          </c:tx>
          <c:layout>
            <c:manualLayout>
              <c:xMode val="edge"/>
              <c:yMode val="edge"/>
              <c:x val="3.4209698134712412E-3"/>
              <c:y val="0.36147758159443694"/>
            </c:manualLayout>
          </c:layout>
          <c:overlay val="0"/>
          <c:txPr>
            <a:bodyPr rot="-5400000" vert="horz" anchor="ctr" anchorCtr="0"/>
            <a:lstStyle/>
            <a:p>
              <a:pPr algn="l">
                <a:defRPr i="1" baseline="0"/>
              </a:pPr>
              <a:endParaRPr lang="en-US"/>
            </a:p>
          </c:txPr>
        </c:title>
        <c:numFmt formatCode="#,##0.0" sourceLinked="0"/>
        <c:majorTickMark val="out"/>
        <c:minorTickMark val="none"/>
        <c:tickLblPos val="nextTo"/>
        <c:spPr>
          <a:ln>
            <a:solidFill>
              <a:schemeClr val="tx1">
                <a:lumMod val="65000"/>
                <a:lumOff val="35000"/>
              </a:schemeClr>
            </a:solidFill>
          </a:ln>
        </c:spPr>
        <c:crossAx val="109740032"/>
        <c:crosses val="autoZero"/>
        <c:crossBetween val="midCat"/>
        <c:majorUnit val="0.1"/>
      </c:valAx>
      <c:spPr>
        <a:solidFill>
          <a:schemeClr val="bg1"/>
        </a:solidFill>
        <a:ln w="6350"/>
      </c:spPr>
    </c:plotArea>
    <c:legend>
      <c:legendPos val="b"/>
      <c:layout>
        <c:manualLayout>
          <c:xMode val="edge"/>
          <c:yMode val="edge"/>
          <c:x val="7.1616217546450103E-2"/>
          <c:y val="0.91020141451414516"/>
          <c:w val="0.8881471227595259"/>
          <c:h val="7.9875119584529169E-2"/>
        </c:manualLayout>
      </c:layout>
      <c:overlay val="0"/>
    </c:legend>
    <c:plotVisOnly val="1"/>
    <c:dispBlanksAs val="gap"/>
    <c:showDLblsOverMax val="0"/>
  </c:chart>
  <c:spPr>
    <a:solidFill>
      <a:srgbClr val="D7E6E6"/>
    </a:solidFill>
    <a:ln>
      <a:noFill/>
    </a:ln>
  </c:spPr>
  <c:txPr>
    <a:bodyPr/>
    <a:lstStyle/>
    <a:p>
      <a:pPr>
        <a:defRPr sz="1200">
          <a:latin typeface="Verdana" pitchFamily="34" charset="0"/>
        </a:defRPr>
      </a:pPr>
      <a:endParaRPr lang="en-US"/>
    </a:p>
  </c:txPr>
  <c:printSettings>
    <c:headerFooter/>
    <c:pageMargins b="0.74803149606299768" l="0.70866141732284094" r="0.70866141732284094" t="0.74803149606299768" header="0.31496062992126495" footer="0.31496062992126495"/>
    <c:pageSetup paperSize="9" orientation="portrait"/>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14</xdr:col>
      <xdr:colOff>284550</xdr:colOff>
      <xdr:row>38</xdr:row>
      <xdr:rowOff>62400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1/ADMINI~1/LOCALS~1/Temp/Orphanhood%20metho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duction"/>
      <sheetName val="Model data"/>
      <sheetName val="Maternal orphanhood"/>
      <sheetName val="Paternal orphanhood"/>
      <sheetName val="Graphs"/>
    </sheetNames>
    <sheetDataSet>
      <sheetData sheetId="0"/>
      <sheetData sheetId="1">
        <row r="1">
          <cell r="R1">
            <v>1999.65</v>
          </cell>
        </row>
      </sheetData>
      <sheetData sheetId="2">
        <row r="1">
          <cell r="R1">
            <v>1999.65</v>
          </cell>
        </row>
        <row r="29">
          <cell r="D29">
            <v>26.750483870967741</v>
          </cell>
        </row>
      </sheetData>
      <sheetData sheetId="3" refreshError="1">
        <row r="1">
          <cell r="S1">
            <v>1999.65</v>
          </cell>
        </row>
        <row r="17">
          <cell r="C17">
            <v>27.96050811424012</v>
          </cell>
        </row>
      </sheetData>
      <sheetData sheetId="4">
        <row r="17">
          <cell r="C17">
            <v>27.96050811424012</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demographicestimation.iussp.org/fr/content/estimation-indirecte-de-la-mortalit&#233;-adulte-&#224;-partir-des-proportions-d&#8217;orphelins"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5" tint="0.59999389629810485"/>
    <pageSetUpPr fitToPage="1"/>
  </sheetPr>
  <dimension ref="A1:H64"/>
  <sheetViews>
    <sheetView showGridLines="0" tabSelected="1" zoomScaleNormal="100" workbookViewId="0">
      <selection activeCell="A3" sqref="A3"/>
    </sheetView>
  </sheetViews>
  <sheetFormatPr defaultColWidth="9" defaultRowHeight="15"/>
  <cols>
    <col min="1" max="1" width="4" style="184" customWidth="1"/>
    <col min="2" max="2" width="75.875" style="147" customWidth="1"/>
    <col min="3" max="3" width="24.875" style="147" customWidth="1"/>
    <col min="4" max="4" width="13.25" style="147" customWidth="1"/>
    <col min="5" max="5" width="12.5" style="147" customWidth="1"/>
    <col min="6" max="6" width="13" style="147" customWidth="1"/>
    <col min="7" max="7" width="12.25" style="147" customWidth="1"/>
    <col min="8" max="16384" width="9" style="147"/>
  </cols>
  <sheetData>
    <row r="1" spans="1:4" ht="30" customHeight="1">
      <c r="B1" s="182" t="s">
        <v>85</v>
      </c>
    </row>
    <row r="2" spans="1:4" ht="15.75" customHeight="1">
      <c r="B2" s="183" t="s">
        <v>61</v>
      </c>
      <c r="C2" s="146" t="s">
        <v>51</v>
      </c>
    </row>
    <row r="3" spans="1:4" s="149" customFormat="1" ht="15.75">
      <c r="A3" s="224"/>
      <c r="B3" s="148"/>
    </row>
    <row r="4" spans="1:4" s="149" customFormat="1">
      <c r="A4" s="185"/>
      <c r="B4" s="150" t="s">
        <v>86</v>
      </c>
    </row>
    <row r="5" spans="1:4" s="149" customFormat="1">
      <c r="A5" s="41"/>
      <c r="B5" s="278" t="s">
        <v>143</v>
      </c>
      <c r="C5" s="151"/>
    </row>
    <row r="6" spans="1:4" s="152" customFormat="1" ht="15.75" customHeight="1">
      <c r="A6" s="209"/>
      <c r="B6" s="148"/>
      <c r="C6" s="149"/>
      <c r="D6" s="147"/>
    </row>
    <row r="7" spans="1:4" ht="75">
      <c r="B7" s="152" t="s">
        <v>141</v>
      </c>
      <c r="C7" s="152"/>
      <c r="D7" s="152"/>
    </row>
    <row r="8" spans="1:4" ht="15.75" thickBot="1"/>
    <row r="9" spans="1:4" ht="16.5" thickBot="1">
      <c r="B9" s="153" t="s">
        <v>87</v>
      </c>
      <c r="C9" s="284" t="s">
        <v>144</v>
      </c>
      <c r="D9" s="285"/>
    </row>
    <row r="10" spans="1:4" ht="15.75" customHeight="1">
      <c r="A10" s="184" t="s">
        <v>62</v>
      </c>
      <c r="B10" s="186" t="s">
        <v>88</v>
      </c>
      <c r="C10" s="266" t="s">
        <v>145</v>
      </c>
      <c r="D10" s="252" t="s">
        <v>161</v>
      </c>
    </row>
    <row r="11" spans="1:4" ht="49.9" customHeight="1">
      <c r="A11" s="184" t="s">
        <v>63</v>
      </c>
      <c r="B11" s="186" t="s">
        <v>142</v>
      </c>
      <c r="C11" s="267" t="s">
        <v>146</v>
      </c>
      <c r="D11" s="253" t="s">
        <v>102</v>
      </c>
    </row>
    <row r="12" spans="1:4" ht="49.9" customHeight="1">
      <c r="A12" s="184" t="s">
        <v>64</v>
      </c>
      <c r="B12" s="186" t="s">
        <v>89</v>
      </c>
      <c r="C12" s="267" t="s">
        <v>147</v>
      </c>
      <c r="D12" s="254" t="s">
        <v>52</v>
      </c>
    </row>
    <row r="13" spans="1:4" ht="31.5" customHeight="1" thickBot="1">
      <c r="A13" s="184" t="s">
        <v>65</v>
      </c>
      <c r="B13" s="186" t="s">
        <v>90</v>
      </c>
      <c r="C13" s="268" t="s">
        <v>148</v>
      </c>
      <c r="D13" s="255">
        <v>32462</v>
      </c>
    </row>
    <row r="14" spans="1:4" s="152" customFormat="1" ht="75" customHeight="1">
      <c r="A14" s="186" t="s">
        <v>66</v>
      </c>
      <c r="B14" s="186" t="s">
        <v>91</v>
      </c>
      <c r="D14" s="154"/>
    </row>
    <row r="15" spans="1:4" ht="60" customHeight="1">
      <c r="A15" s="187" t="s">
        <v>92</v>
      </c>
      <c r="B15" s="186" t="s">
        <v>93</v>
      </c>
      <c r="C15" s="152"/>
      <c r="D15" s="155"/>
    </row>
    <row r="16" spans="1:4" ht="175.15" customHeight="1">
      <c r="A16" s="184" t="s">
        <v>67</v>
      </c>
      <c r="B16" s="186" t="s">
        <v>94</v>
      </c>
      <c r="C16" s="152"/>
    </row>
    <row r="17" spans="1:2" ht="75" customHeight="1">
      <c r="A17" s="184" t="s">
        <v>68</v>
      </c>
      <c r="B17" s="186" t="s">
        <v>95</v>
      </c>
    </row>
    <row r="18" spans="1:2" ht="60.75">
      <c r="A18" s="187" t="s">
        <v>92</v>
      </c>
      <c r="B18" s="186" t="s">
        <v>96</v>
      </c>
    </row>
    <row r="19" spans="1:2" ht="175.15" customHeight="1">
      <c r="A19" s="184" t="s">
        <v>69</v>
      </c>
      <c r="B19" s="186" t="s">
        <v>97</v>
      </c>
    </row>
    <row r="20" spans="1:2" ht="75" customHeight="1">
      <c r="A20" s="184" t="s">
        <v>70</v>
      </c>
      <c r="B20" s="186" t="s">
        <v>98</v>
      </c>
    </row>
    <row r="21" spans="1:2" ht="105" customHeight="1">
      <c r="A21" s="184" t="s">
        <v>71</v>
      </c>
      <c r="B21" s="186" t="s">
        <v>99</v>
      </c>
    </row>
    <row r="22" spans="1:2" s="152" customFormat="1" ht="75" customHeight="1">
      <c r="A22" s="186" t="s">
        <v>72</v>
      </c>
      <c r="B22" s="186" t="s">
        <v>100</v>
      </c>
    </row>
    <row r="23" spans="1:2">
      <c r="B23" s="156"/>
    </row>
    <row r="44" spans="2:8">
      <c r="C44" s="157"/>
      <c r="D44" s="157"/>
      <c r="E44" s="158"/>
      <c r="F44" s="158"/>
      <c r="G44" s="158"/>
      <c r="H44" s="157"/>
    </row>
    <row r="45" spans="2:8" ht="15.75">
      <c r="H45" s="160"/>
    </row>
    <row r="46" spans="2:8">
      <c r="B46" s="159"/>
      <c r="H46" s="157"/>
    </row>
    <row r="47" spans="2:8">
      <c r="B47" s="159"/>
      <c r="H47" s="157"/>
    </row>
    <row r="48" spans="2:8">
      <c r="B48" s="159"/>
      <c r="H48" s="157"/>
    </row>
    <row r="49" spans="2:8">
      <c r="B49" s="159"/>
      <c r="H49" s="157"/>
    </row>
    <row r="50" spans="2:8">
      <c r="B50" s="159"/>
      <c r="H50" s="157"/>
    </row>
    <row r="51" spans="2:8">
      <c r="B51" s="159"/>
      <c r="H51" s="157"/>
    </row>
    <row r="52" spans="2:8">
      <c r="B52" s="159"/>
      <c r="H52" s="157"/>
    </row>
    <row r="53" spans="2:8">
      <c r="B53" s="159"/>
      <c r="H53" s="157"/>
    </row>
    <row r="54" spans="2:8">
      <c r="B54" s="159"/>
      <c r="H54" s="157"/>
    </row>
    <row r="55" spans="2:8">
      <c r="B55" s="159"/>
      <c r="H55" s="157"/>
    </row>
    <row r="56" spans="2:8">
      <c r="B56" s="159"/>
      <c r="H56" s="157"/>
    </row>
    <row r="57" spans="2:8">
      <c r="B57" s="159"/>
      <c r="H57" s="157"/>
    </row>
    <row r="58" spans="2:8">
      <c r="B58" s="159"/>
      <c r="H58" s="157"/>
    </row>
    <row r="59" spans="2:8">
      <c r="B59" s="159"/>
      <c r="H59" s="157"/>
    </row>
    <row r="60" spans="2:8">
      <c r="B60" s="159"/>
      <c r="H60" s="157"/>
    </row>
    <row r="61" spans="2:8">
      <c r="B61" s="159"/>
      <c r="C61" s="158"/>
      <c r="D61" s="158"/>
      <c r="E61" s="161"/>
      <c r="F61" s="161"/>
      <c r="G61" s="158"/>
      <c r="H61" s="157"/>
    </row>
    <row r="62" spans="2:8">
      <c r="B62" s="159"/>
      <c r="E62" s="162"/>
      <c r="F62" s="163"/>
    </row>
    <row r="63" spans="2:8">
      <c r="B63" s="159"/>
      <c r="E63" s="162"/>
      <c r="F63" s="163"/>
    </row>
    <row r="64" spans="2:8">
      <c r="E64" s="157"/>
      <c r="F64" s="157"/>
    </row>
  </sheetData>
  <sheetProtection sheet="1" objects="1" scenarios="1" selectLockedCells="1"/>
  <mergeCells count="1">
    <mergeCell ref="C9:D9"/>
  </mergeCells>
  <dataValidations count="4">
    <dataValidation type="date" operator="greaterThanOrEqual" allowBlank="1" showInputMessage="1" showErrorMessage="1" promptTitle="La date" prompt="Veuillez remplir la date en utilisant le format standard de date en fonction de votre ordinateur." sqref="D13">
      <formula1>1</formula1>
    </dataValidation>
    <dataValidation type="list" showInputMessage="1" showErrorMessage="1" sqref="D11">
      <formula1>Model_LTs</formula1>
    </dataValidation>
    <dataValidation type="list" showInputMessage="1" showErrorMessage="1" promptTitle="Select mortality index" sqref="D12">
      <formula1>"45q15,30q30"</formula1>
    </dataValidation>
    <dataValidation type="list" showDropDown="1" showInputMessage="1" showErrorMessage="1" sqref="B5">
      <formula1>"http://demographicestimation.iussp.org/content/orphanhood"</formula1>
    </dataValidation>
  </dataValidations>
  <hyperlinks>
    <hyperlink ref="B5" r:id="rId1"/>
  </hyperlinks>
  <pageMargins left="0.70866141732283472" right="0.70866141732283472" top="0.94488188976377963" bottom="0.94488188976377963" header="0.31496062992125984" footer="0.31496062992125984"/>
  <pageSetup paperSize="9" scale="75" fitToHeight="0" orientation="portrait" r:id="rId2"/>
  <headerFooter>
    <oddHeader>&amp;L&amp;"+,Bold"&amp;13Tools for Demographic Estimation&amp;R&amp;"+,Bold"&amp;13Orphanhood before &amp;&amp; since 1st marriage</oddHeader>
    <oddFooter>&amp;L&amp;"+,Regular"&amp;F&amp;R&amp;"+,Regular"&amp;D  &amp;T</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6" tint="0.59999389629810485"/>
  </sheetPr>
  <dimension ref="A1:G38"/>
  <sheetViews>
    <sheetView workbookViewId="0">
      <selection activeCell="F1" sqref="F1"/>
    </sheetView>
  </sheetViews>
  <sheetFormatPr defaultColWidth="8.875" defaultRowHeight="12"/>
  <cols>
    <col min="2" max="2" width="9.875" customWidth="1"/>
    <col min="3" max="3" width="12.5" customWidth="1"/>
    <col min="4" max="4" width="12.875" customWidth="1"/>
    <col min="5" max="5" width="13.125" customWidth="1"/>
    <col min="6" max="7" width="12.25" customWidth="1"/>
  </cols>
  <sheetData>
    <row r="1" spans="1:7" ht="15.75" customHeight="1">
      <c r="A1" s="153" t="s">
        <v>101</v>
      </c>
    </row>
    <row r="2" spans="1:7" ht="15.75" customHeight="1">
      <c r="A2" s="193" t="s">
        <v>0</v>
      </c>
      <c r="B2" s="193" t="s">
        <v>102</v>
      </c>
      <c r="C2" s="193" t="s">
        <v>103</v>
      </c>
      <c r="D2" s="193" t="s">
        <v>104</v>
      </c>
      <c r="E2" s="193" t="s">
        <v>105</v>
      </c>
      <c r="F2" s="193" t="s">
        <v>106</v>
      </c>
      <c r="G2" s="193" t="s">
        <v>107</v>
      </c>
    </row>
    <row r="3" spans="1:7" ht="15.75" customHeight="1">
      <c r="A3" s="194">
        <v>15</v>
      </c>
      <c r="B3" s="195">
        <v>-1.0121945536850769</v>
      </c>
      <c r="C3" s="195">
        <v>-0.97971406825728613</v>
      </c>
      <c r="D3" s="195">
        <v>-0.96635456814626275</v>
      </c>
      <c r="E3" s="195">
        <v>-0.88990310948808893</v>
      </c>
      <c r="F3" s="195">
        <v>-1.0293119689456429</v>
      </c>
      <c r="G3" s="229"/>
    </row>
    <row r="4" spans="1:7" ht="15.75" customHeight="1">
      <c r="A4" s="194">
        <v>20</v>
      </c>
      <c r="B4" s="195">
        <v>-0.97234684182353803</v>
      </c>
      <c r="C4" s="195">
        <v>-0.94156371692343144</v>
      </c>
      <c r="D4" s="195">
        <v>-0.91382222014342573</v>
      </c>
      <c r="E4" s="195">
        <v>-0.85999289910331278</v>
      </c>
      <c r="F4" s="195">
        <v>-0.97893414503700538</v>
      </c>
      <c r="G4" s="229"/>
    </row>
    <row r="5" spans="1:7" ht="15.75" customHeight="1">
      <c r="A5" s="194">
        <v>25</v>
      </c>
      <c r="B5" s="195">
        <v>-0.92078751270821413</v>
      </c>
      <c r="C5" s="195">
        <v>-0.89159541950333177</v>
      </c>
      <c r="D5" s="195">
        <v>-0.85013265027358209</v>
      </c>
      <c r="E5" s="195">
        <v>-0.82016153698599226</v>
      </c>
      <c r="F5" s="195">
        <v>-0.91633966970304337</v>
      </c>
      <c r="G5" s="229"/>
    </row>
    <row r="6" spans="1:7" ht="15.75" customHeight="1">
      <c r="A6" s="194">
        <v>30</v>
      </c>
      <c r="B6" s="195">
        <v>-0.86548423243967132</v>
      </c>
      <c r="C6" s="195">
        <v>-0.84219551169775642</v>
      </c>
      <c r="D6" s="195">
        <v>-0.78726242697886062</v>
      </c>
      <c r="E6" s="195">
        <v>-0.78007392332133241</v>
      </c>
      <c r="F6" s="195">
        <v>-0.85459253778955946</v>
      </c>
      <c r="G6" s="229"/>
    </row>
    <row r="7" spans="1:7" ht="15.75" customHeight="1">
      <c r="A7" s="194">
        <v>35</v>
      </c>
      <c r="B7" s="195">
        <v>-0.80533674084601314</v>
      </c>
      <c r="C7" s="195">
        <v>-0.79104803230330434</v>
      </c>
      <c r="D7" s="195">
        <v>-0.72474545944961821</v>
      </c>
      <c r="E7" s="195">
        <v>-0.73709896740170688</v>
      </c>
      <c r="F7" s="195">
        <v>-0.79123192333414838</v>
      </c>
      <c r="G7" s="229"/>
    </row>
    <row r="8" spans="1:7" ht="15.75" customHeight="1">
      <c r="A8" s="194">
        <v>40</v>
      </c>
      <c r="B8" s="195">
        <v>-0.73732521540819196</v>
      </c>
      <c r="C8" s="195">
        <v>-0.73425391825061403</v>
      </c>
      <c r="D8" s="195">
        <v>-0.66077403595339856</v>
      </c>
      <c r="E8" s="195">
        <v>-0.69020740216054988</v>
      </c>
      <c r="F8" s="195">
        <v>-0.72290929940989257</v>
      </c>
      <c r="G8" s="229"/>
    </row>
    <row r="9" spans="1:7" ht="15.75" customHeight="1">
      <c r="A9" s="194">
        <v>45</v>
      </c>
      <c r="B9" s="195">
        <v>-0.65863624320988345</v>
      </c>
      <c r="C9" s="195">
        <v>-0.66825754255920489</v>
      </c>
      <c r="D9" s="195">
        <v>-0.5904613819796557</v>
      </c>
      <c r="E9" s="195">
        <v>-0.63449440257961387</v>
      </c>
      <c r="F9" s="195">
        <v>-0.6461549890735192</v>
      </c>
      <c r="G9" s="229"/>
    </row>
    <row r="10" spans="1:7" ht="15.75" customHeight="1">
      <c r="A10" s="194">
        <v>50</v>
      </c>
      <c r="B10" s="195">
        <v>-0.56432091512237903</v>
      </c>
      <c r="C10" s="195">
        <v>-0.58660888869906025</v>
      </c>
      <c r="D10" s="195">
        <v>-0.51474890543256313</v>
      </c>
      <c r="E10" s="195">
        <v>-0.56821295557201257</v>
      </c>
      <c r="F10" s="195">
        <v>-0.55659173180953114</v>
      </c>
      <c r="G10" s="229"/>
    </row>
    <row r="11" spans="1:7" ht="15.75" customHeight="1">
      <c r="A11" s="194">
        <v>55</v>
      </c>
      <c r="B11" s="195">
        <v>-0.44835796349979129</v>
      </c>
      <c r="C11" s="195">
        <v>-0.48111641634940366</v>
      </c>
      <c r="D11" s="195">
        <v>-0.42188099777551347</v>
      </c>
      <c r="E11" s="195">
        <v>-0.48239734581505644</v>
      </c>
      <c r="F11" s="195">
        <v>-0.44666706004400114</v>
      </c>
      <c r="G11" s="229"/>
    </row>
    <row r="12" spans="1:7" ht="15.75" customHeight="1">
      <c r="A12" s="194">
        <v>60</v>
      </c>
      <c r="B12" s="195">
        <v>-0.30638850188113281</v>
      </c>
      <c r="C12" s="195">
        <v>-0.34745214284807552</v>
      </c>
      <c r="D12" s="195">
        <v>-0.31373408763068089</v>
      </c>
      <c r="E12" s="195">
        <v>-0.37368650277193127</v>
      </c>
      <c r="F12" s="195">
        <v>-0.31288957869926254</v>
      </c>
      <c r="G12" s="229"/>
    </row>
    <row r="13" spans="1:7" ht="15.75" customHeight="1">
      <c r="A13" s="194">
        <v>65</v>
      </c>
      <c r="B13" s="195">
        <v>-0.13218620461701414</v>
      </c>
      <c r="C13" s="195">
        <v>-0.17916315353789958</v>
      </c>
      <c r="D13" s="195">
        <v>-0.17374005998585826</v>
      </c>
      <c r="E13" s="195">
        <v>-0.22956293913585316</v>
      </c>
      <c r="F13" s="195">
        <v>-0.14574826715382799</v>
      </c>
      <c r="G13" s="229"/>
    </row>
    <row r="14" spans="1:7" ht="15.75" customHeight="1">
      <c r="A14" s="194">
        <v>70</v>
      </c>
      <c r="B14" s="195">
        <v>8.1075417880201409E-2</v>
      </c>
      <c r="C14" s="195">
        <v>3.4873769526037102E-2</v>
      </c>
      <c r="D14" s="195">
        <v>7.709813626405328E-3</v>
      </c>
      <c r="E14" s="195">
        <v>-4.0702942595531359E-2</v>
      </c>
      <c r="F14" s="195">
        <v>6.0162515402529336E-2</v>
      </c>
      <c r="G14" s="229"/>
    </row>
    <row r="15" spans="1:7" ht="15.75" customHeight="1">
      <c r="A15" s="194">
        <v>75</v>
      </c>
      <c r="B15" s="195">
        <v>0.34157292464829403</v>
      </c>
      <c r="C15" s="195">
        <v>0.3123474009290419</v>
      </c>
      <c r="D15" s="195">
        <v>0.24438970566438267</v>
      </c>
      <c r="E15" s="195">
        <v>0.21969545818577857</v>
      </c>
      <c r="F15" s="195">
        <v>0.32200302729512403</v>
      </c>
      <c r="G15" s="229"/>
    </row>
    <row r="16" spans="1:7" ht="15.75" customHeight="1">
      <c r="A16" s="194">
        <v>80</v>
      </c>
      <c r="B16" s="195">
        <v>0.6615291707175992</v>
      </c>
      <c r="C16" s="195">
        <v>0.67726953010875401</v>
      </c>
      <c r="D16" s="195">
        <v>0.5542075593189103</v>
      </c>
      <c r="E16" s="195">
        <v>0.58006843196258251</v>
      </c>
      <c r="F16" s="195">
        <v>0.66202299315788493</v>
      </c>
      <c r="G16" s="229"/>
    </row>
    <row r="17" spans="1:7" ht="15.75" customHeight="1">
      <c r="A17" s="196">
        <v>85</v>
      </c>
      <c r="B17" s="197">
        <v>1.067151820502233</v>
      </c>
      <c r="C17" s="197">
        <v>1.17951998038618</v>
      </c>
      <c r="D17" s="197">
        <v>0.97306427262294348</v>
      </c>
      <c r="E17" s="197">
        <v>1.0907265436318963</v>
      </c>
      <c r="F17" s="197">
        <v>1.1203444618292409</v>
      </c>
      <c r="G17" s="230"/>
    </row>
    <row r="18" spans="1:7" ht="15.75" customHeight="1"/>
    <row r="19" spans="1:7" ht="15.75" customHeight="1">
      <c r="A19" s="54" t="s">
        <v>108</v>
      </c>
      <c r="B19" s="52"/>
      <c r="C19" s="142" t="s">
        <v>44</v>
      </c>
      <c r="D19" s="228">
        <v>0</v>
      </c>
    </row>
    <row r="20" spans="1:7" ht="15.75" customHeight="1">
      <c r="A20" s="23"/>
      <c r="B20" s="23"/>
      <c r="C20" s="142" t="s">
        <v>45</v>
      </c>
      <c r="D20" s="228">
        <v>1</v>
      </c>
    </row>
    <row r="21" spans="1:7" ht="15.75" customHeight="1">
      <c r="A21" s="256"/>
      <c r="B21" s="257" t="s">
        <v>102</v>
      </c>
      <c r="C21" s="257" t="s">
        <v>17</v>
      </c>
      <c r="D21" s="257" t="s">
        <v>17</v>
      </c>
    </row>
    <row r="22" spans="1:7" ht="15.75" customHeight="1">
      <c r="A22" s="258" t="s">
        <v>0</v>
      </c>
      <c r="B22" s="259" t="s">
        <v>46</v>
      </c>
      <c r="C22" s="259" t="s">
        <v>109</v>
      </c>
      <c r="D22" s="259" t="s">
        <v>110</v>
      </c>
    </row>
    <row r="23" spans="1:7" ht="15.75" customHeight="1">
      <c r="A23" s="260"/>
      <c r="B23" s="261" t="s">
        <v>47</v>
      </c>
      <c r="C23" s="261" t="s">
        <v>48</v>
      </c>
      <c r="D23" s="261" t="s">
        <v>49</v>
      </c>
    </row>
    <row r="24" spans="1:7" ht="15.75" customHeight="1">
      <c r="A24" s="143">
        <v>15</v>
      </c>
      <c r="B24" s="145">
        <f>HLOOKUP(Introduction!D$11,Modèles!$B$2:$F$17,ROW()-ROW(A$24)+2,FALSE)</f>
        <v>-1.0121945536850769</v>
      </c>
      <c r="C24" s="145">
        <f t="shared" ref="C24:C38" si="0">$D$19+$D$20*B24</f>
        <v>-1.0121945536850769</v>
      </c>
      <c r="D24" s="33">
        <f t="shared" ref="D24:D38" si="1">1/(1+EXP(2*C24))</f>
        <v>0.88333409005509533</v>
      </c>
    </row>
    <row r="25" spans="1:7" ht="15.75" customHeight="1">
      <c r="A25" s="143">
        <f t="shared" ref="A25:A38" si="2">5+A24</f>
        <v>20</v>
      </c>
      <c r="B25" s="70">
        <f>HLOOKUP(Introduction!D$11,Modèles!$B$2:$F$17,ROW()-ROW(A$24)+2,FALSE)</f>
        <v>-0.97234684182353803</v>
      </c>
      <c r="C25" s="70">
        <f t="shared" si="0"/>
        <v>-0.97234684182353803</v>
      </c>
      <c r="D25" s="33">
        <f t="shared" si="1"/>
        <v>0.87486688839026305</v>
      </c>
    </row>
    <row r="26" spans="1:7" ht="15.75" customHeight="1">
      <c r="A26" s="143">
        <f t="shared" si="2"/>
        <v>25</v>
      </c>
      <c r="B26" s="70">
        <f>HLOOKUP(Introduction!D$11,Modèles!$B$2:$F$17,ROW()-ROW(A$24)+2,FALSE)</f>
        <v>-0.92078751270821413</v>
      </c>
      <c r="C26" s="70">
        <f t="shared" si="0"/>
        <v>-0.92078751270821413</v>
      </c>
      <c r="D26" s="33">
        <f t="shared" si="1"/>
        <v>0.86313487643920483</v>
      </c>
    </row>
    <row r="27" spans="1:7" ht="15.75" customHeight="1">
      <c r="A27" s="143">
        <f t="shared" si="2"/>
        <v>30</v>
      </c>
      <c r="B27" s="70">
        <f>HLOOKUP(Introduction!D$11,Modèles!$B$2:$F$17,ROW()-ROW(A$24)+2,FALSE)</f>
        <v>-0.86548423243967132</v>
      </c>
      <c r="C27" s="70">
        <f t="shared" si="0"/>
        <v>-0.86548423243967132</v>
      </c>
      <c r="D27" s="33">
        <f t="shared" si="1"/>
        <v>0.84953625561237445</v>
      </c>
    </row>
    <row r="28" spans="1:7" ht="15.75" customHeight="1">
      <c r="A28" s="143">
        <f t="shared" si="2"/>
        <v>35</v>
      </c>
      <c r="B28" s="70">
        <f>HLOOKUP(Introduction!D$11,Modèles!$B$2:$F$17,ROW()-ROW(A$24)+2,FALSE)</f>
        <v>-0.80533674084601314</v>
      </c>
      <c r="C28" s="70">
        <f t="shared" si="0"/>
        <v>-0.80533674084601314</v>
      </c>
      <c r="D28" s="33">
        <f t="shared" si="1"/>
        <v>0.83350486950461589</v>
      </c>
    </row>
    <row r="29" spans="1:7" ht="15.75" customHeight="1">
      <c r="A29" s="143">
        <f t="shared" si="2"/>
        <v>40</v>
      </c>
      <c r="B29" s="70">
        <f>HLOOKUP(Introduction!D$11,Modèles!$B$2:$F$17,ROW()-ROW(A$24)+2,FALSE)</f>
        <v>-0.73732521540819196</v>
      </c>
      <c r="C29" s="70">
        <f t="shared" si="0"/>
        <v>-0.73732521540819196</v>
      </c>
      <c r="D29" s="33">
        <f t="shared" si="1"/>
        <v>0.81376319977144118</v>
      </c>
    </row>
    <row r="30" spans="1:7" ht="15.75" customHeight="1">
      <c r="A30" s="143">
        <f t="shared" si="2"/>
        <v>45</v>
      </c>
      <c r="B30" s="70">
        <f>HLOOKUP(Introduction!D$11,Modèles!$B$2:$F$17,ROW()-ROW(A$24)+2,FALSE)</f>
        <v>-0.65863624320988345</v>
      </c>
      <c r="C30" s="70">
        <f t="shared" si="0"/>
        <v>-0.65863624320988345</v>
      </c>
      <c r="D30" s="33">
        <f t="shared" si="1"/>
        <v>0.78872756141577427</v>
      </c>
    </row>
    <row r="31" spans="1:7" ht="15.75" customHeight="1">
      <c r="A31" s="143">
        <f t="shared" si="2"/>
        <v>50</v>
      </c>
      <c r="B31" s="70">
        <f>HLOOKUP(Introduction!D$11,Modèles!$B$2:$F$17,ROW()-ROW(A$24)+2,FALSE)</f>
        <v>-0.56432091512237903</v>
      </c>
      <c r="C31" s="70">
        <f t="shared" si="0"/>
        <v>-0.56432091512237903</v>
      </c>
      <c r="D31" s="33">
        <f t="shared" si="1"/>
        <v>0.75558816659335271</v>
      </c>
    </row>
    <row r="32" spans="1:7" ht="15.75" customHeight="1">
      <c r="A32" s="143">
        <f t="shared" si="2"/>
        <v>55</v>
      </c>
      <c r="B32" s="70">
        <f>HLOOKUP(Introduction!D$11,Modèles!$B$2:$F$17,ROW()-ROW(A$24)+2,FALSE)</f>
        <v>-0.44835796349979129</v>
      </c>
      <c r="C32" s="70">
        <f t="shared" si="0"/>
        <v>-0.44835796349979129</v>
      </c>
      <c r="D32" s="33">
        <f t="shared" si="1"/>
        <v>0.71027415735971011</v>
      </c>
    </row>
    <row r="33" spans="1:4" ht="15.75" customHeight="1">
      <c r="A33" s="143">
        <f t="shared" si="2"/>
        <v>60</v>
      </c>
      <c r="B33" s="70">
        <f>HLOOKUP(Introduction!D$11,Modèles!$B$2:$F$17,ROW()-ROW(A$24)+2,FALSE)</f>
        <v>-0.30638850188113281</v>
      </c>
      <c r="C33" s="70">
        <f t="shared" si="0"/>
        <v>-0.30638850188113281</v>
      </c>
      <c r="D33" s="33">
        <f t="shared" si="1"/>
        <v>0.64857401363075629</v>
      </c>
    </row>
    <row r="34" spans="1:4" ht="15.75" customHeight="1">
      <c r="A34" s="143">
        <f t="shared" si="2"/>
        <v>65</v>
      </c>
      <c r="B34" s="70">
        <f>HLOOKUP(Introduction!D$11,Modèles!$B$2:$F$17,ROW()-ROW(A$24)+2,FALSE)</f>
        <v>-0.13218620461701414</v>
      </c>
      <c r="C34" s="70">
        <f t="shared" si="0"/>
        <v>-0.13218620461701414</v>
      </c>
      <c r="D34" s="33">
        <f t="shared" si="1"/>
        <v>0.56571082144915019</v>
      </c>
    </row>
    <row r="35" spans="1:4" ht="15.75" customHeight="1">
      <c r="A35" s="143">
        <f t="shared" si="2"/>
        <v>70</v>
      </c>
      <c r="B35" s="70">
        <f>HLOOKUP(Introduction!D$11,Modèles!$B$2:$F$17,ROW()-ROW(A$24)+2,FALSE)</f>
        <v>8.1075417880201409E-2</v>
      </c>
      <c r="C35" s="70">
        <f t="shared" si="0"/>
        <v>8.1075417880201409E-2</v>
      </c>
      <c r="D35" s="33">
        <f t="shared" si="1"/>
        <v>0.45955087928190458</v>
      </c>
    </row>
    <row r="36" spans="1:4" ht="15.75" customHeight="1">
      <c r="A36" s="143">
        <f t="shared" si="2"/>
        <v>75</v>
      </c>
      <c r="B36" s="70">
        <f>HLOOKUP(Introduction!D$11,Modèles!$B$2:$F$17,ROW()-ROW(A$24)+2,FALSE)</f>
        <v>0.34157292464829403</v>
      </c>
      <c r="C36" s="70">
        <f t="shared" si="0"/>
        <v>0.34157292464829403</v>
      </c>
      <c r="D36" s="33">
        <f t="shared" si="1"/>
        <v>0.33555954367971813</v>
      </c>
    </row>
    <row r="37" spans="1:4" ht="15.75" customHeight="1">
      <c r="A37" s="143">
        <f t="shared" si="2"/>
        <v>80</v>
      </c>
      <c r="B37" s="70">
        <f>HLOOKUP(Introduction!D$11,Modèles!$B$2:$F$17,ROW()-ROW(A$24)+2,FALSE)</f>
        <v>0.6615291707175992</v>
      </c>
      <c r="C37" s="70">
        <f t="shared" si="0"/>
        <v>0.6615291707175992</v>
      </c>
      <c r="D37" s="33">
        <f t="shared" si="1"/>
        <v>0.21030991517579642</v>
      </c>
    </row>
    <row r="38" spans="1:4" ht="15.75" customHeight="1">
      <c r="A38" s="144">
        <f t="shared" si="2"/>
        <v>85</v>
      </c>
      <c r="B38" s="38">
        <f>HLOOKUP(Introduction!D$11,Modèles!$B$2:$F$17,ROW()-ROW(A$24)+2,FALSE)</f>
        <v>1.067151820502233</v>
      </c>
      <c r="C38" s="38">
        <f t="shared" si="0"/>
        <v>1.067151820502233</v>
      </c>
      <c r="D38" s="38">
        <f t="shared" si="1"/>
        <v>0.1058071243893276</v>
      </c>
    </row>
  </sheetData>
  <sheetProtection sheet="1" objects="1" scenarios="1"/>
  <dataValidations count="3">
    <dataValidation type="decimal" allowBlank="1" showInputMessage="1" showErrorMessage="1" error="Enter numeric values of the logits" sqref="G3:G17">
      <formula1>-2</formula1>
      <formula2>2</formula2>
    </dataValidation>
    <dataValidation type="decimal" allowBlank="1" showInputMessage="1" showErrorMessage="1" error="0.6&lt;β&lt;1.5" prompt="Le paramètre β peut varier entre 0,6 (mortalité relativement élevée chez les plus jeunes) et 1,5 (mortalité relativement élevée chez les personnes âgées) autour d'une valeur centrale de l'un." sqref="D20">
      <formula1>0.6</formula1>
      <formula2>1.5</formula2>
    </dataValidation>
    <dataValidation type="decimal" allowBlank="1" showInputMessage="1" showErrorMessage="1" error="-1.5&lt;α&lt;1" prompt="Le paramètre α peut varier de -1,5 (faible mortalité) jusqu’ à 1 (forte mortalité) autour d'une valeur centrale de zéro." sqref="D19">
      <formula1>-1.5</formula1>
      <formula2>1</formula2>
    </dataValidation>
  </dataValidations>
  <pageMargins left="0.70866141732283472" right="0.70866141732283472" top="0.74803149606299213" bottom="0.74803149606299213" header="0.31496062992125984" footer="0.31496062992125984"/>
  <pageSetup paperSize="9" orientation="portrait" verticalDpi="0" r:id="rId1"/>
  <headerFooter>
    <oddHeader>&amp;L&amp;"+,Bold"&amp;13Tools for Demographic Estimation&amp;R&amp;"+,Bold"&amp;13Orphanhood before &amp;&amp; since 1st marriage</oddHeader>
    <oddFooter>&amp;L&amp;"+,Regular"&amp;12&amp;F&amp;R&amp;"+,Regular"&amp;12&amp;D  &amp;T</oddFoot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codeName="Sheet2">
    <tabColor theme="7" tint="0.59999389629810485"/>
  </sheetPr>
  <dimension ref="A1:AW66"/>
  <sheetViews>
    <sheetView workbookViewId="0">
      <selection activeCell="H2" sqref="H2"/>
    </sheetView>
  </sheetViews>
  <sheetFormatPr defaultColWidth="8.625" defaultRowHeight="15"/>
  <cols>
    <col min="1" max="1" width="7.25" style="1" customWidth="1"/>
    <col min="2" max="2" width="10.375" style="1" customWidth="1"/>
    <col min="3" max="3" width="8.75" style="1" bestFit="1" customWidth="1"/>
    <col min="4" max="4" width="16.75" style="1" customWidth="1"/>
    <col min="5" max="5" width="8.125" style="1" customWidth="1"/>
    <col min="6" max="6" width="4.25" style="1" customWidth="1"/>
    <col min="7" max="7" width="8.625" style="1" customWidth="1"/>
    <col min="8" max="8" width="19.5" style="1" customWidth="1"/>
    <col min="9" max="9" width="8.625" style="1" customWidth="1"/>
    <col min="10" max="10" width="9.125" style="1" customWidth="1"/>
    <col min="11" max="11" width="10.375" style="1" customWidth="1"/>
    <col min="12" max="12" width="2.625" style="1" customWidth="1"/>
    <col min="13" max="13" width="8.75" style="1" customWidth="1"/>
    <col min="14" max="15" width="8.625" style="1"/>
    <col min="16" max="16" width="8.625" style="9"/>
    <col min="17" max="17" width="11" style="9" customWidth="1"/>
    <col min="18" max="20" width="8.625" style="9"/>
    <col min="21" max="21" width="2.625" style="9" customWidth="1"/>
    <col min="22" max="37" width="8.625" style="9"/>
    <col min="38" max="40" width="8.625" style="1"/>
    <col min="41" max="42" width="8.625" style="1" customWidth="1"/>
    <col min="43" max="16384" width="8.625" style="1"/>
  </cols>
  <sheetData>
    <row r="1" spans="1:47" ht="15.75">
      <c r="A1" s="208" t="s">
        <v>111</v>
      </c>
      <c r="B1" s="23"/>
      <c r="C1" s="23"/>
      <c r="D1" s="23"/>
      <c r="E1" s="23"/>
      <c r="F1" s="23"/>
      <c r="G1" s="208" t="s">
        <v>33</v>
      </c>
      <c r="H1" s="279" t="s">
        <v>158</v>
      </c>
      <c r="J1" s="24" t="s">
        <v>112</v>
      </c>
      <c r="K1" s="225">
        <f>Introduction!D13</f>
        <v>32462</v>
      </c>
      <c r="L1" s="51"/>
      <c r="M1" s="22" t="s">
        <v>124</v>
      </c>
      <c r="N1" s="23"/>
      <c r="O1" s="23"/>
      <c r="P1" s="23"/>
      <c r="Q1" s="23"/>
      <c r="R1" s="23"/>
      <c r="S1" s="24" t="s">
        <v>125</v>
      </c>
      <c r="T1" s="69">
        <f>YEAR(K1)+YEARFRAC(DATE(YEAR(K1),1,1),K1,1)</f>
        <v>1988.8715846994535</v>
      </c>
      <c r="U1" s="52"/>
      <c r="V1" s="54" t="s">
        <v>136</v>
      </c>
      <c r="W1" s="23"/>
      <c r="X1" s="23"/>
      <c r="Y1" s="23"/>
      <c r="Z1" s="23"/>
      <c r="AL1" s="2"/>
      <c r="AN1" s="14"/>
      <c r="AO1" s="15"/>
      <c r="AP1" s="15"/>
      <c r="AQ1" s="15"/>
      <c r="AR1" s="15"/>
      <c r="AS1" s="15"/>
      <c r="AT1" s="15"/>
      <c r="AU1" s="15"/>
    </row>
    <row r="2" spans="1:47" ht="15.6" customHeight="1">
      <c r="A2" s="262"/>
      <c r="B2" s="263"/>
      <c r="C2" s="263"/>
      <c r="D2" s="263"/>
      <c r="E2" s="286" t="s">
        <v>114</v>
      </c>
      <c r="F2" s="26"/>
      <c r="G2" s="263"/>
      <c r="H2" s="263"/>
      <c r="I2" s="263"/>
      <c r="J2" s="26" t="s">
        <v>115</v>
      </c>
      <c r="K2" s="263"/>
      <c r="L2" s="53"/>
      <c r="M2" s="26" t="s">
        <v>116</v>
      </c>
      <c r="N2" s="26" t="s">
        <v>126</v>
      </c>
      <c r="O2" s="26" t="s">
        <v>16</v>
      </c>
      <c r="P2" s="26" t="s">
        <v>17</v>
      </c>
      <c r="Q2" s="26" t="s">
        <v>127</v>
      </c>
      <c r="R2" s="26" t="s">
        <v>128</v>
      </c>
      <c r="S2" s="26" t="s">
        <v>129</v>
      </c>
      <c r="T2" s="166"/>
      <c r="U2" s="52"/>
      <c r="V2" s="55"/>
      <c r="W2" s="55"/>
      <c r="X2" s="55"/>
      <c r="Y2" s="55"/>
      <c r="Z2" s="23"/>
      <c r="AL2" s="2"/>
      <c r="AQ2" s="12"/>
      <c r="AR2" s="11"/>
      <c r="AS2" s="8"/>
      <c r="AT2" s="8"/>
      <c r="AU2" s="9"/>
    </row>
    <row r="3" spans="1:47" ht="16.5" customHeight="1">
      <c r="A3" s="28" t="s">
        <v>116</v>
      </c>
      <c r="B3" s="28" t="s">
        <v>29</v>
      </c>
      <c r="C3" s="28" t="s">
        <v>117</v>
      </c>
      <c r="D3" s="28" t="s">
        <v>16</v>
      </c>
      <c r="E3" s="287"/>
      <c r="F3" s="28" t="s">
        <v>0</v>
      </c>
      <c r="G3" s="198" t="s">
        <v>118</v>
      </c>
      <c r="H3" s="280" t="s">
        <v>17</v>
      </c>
      <c r="I3" s="28" t="s">
        <v>119</v>
      </c>
      <c r="J3" s="28" t="s">
        <v>120</v>
      </c>
      <c r="K3" s="199"/>
      <c r="L3" s="53"/>
      <c r="M3" s="28" t="s">
        <v>121</v>
      </c>
      <c r="N3" s="28" t="s">
        <v>130</v>
      </c>
      <c r="O3" s="28" t="s">
        <v>131</v>
      </c>
      <c r="P3" s="28" t="s">
        <v>132</v>
      </c>
      <c r="Q3" s="28" t="s">
        <v>133</v>
      </c>
      <c r="R3" s="28" t="s">
        <v>134</v>
      </c>
      <c r="S3" s="28" t="s">
        <v>135</v>
      </c>
      <c r="T3" s="28" t="s">
        <v>12</v>
      </c>
      <c r="U3" s="52"/>
      <c r="V3" s="58" t="s">
        <v>8</v>
      </c>
      <c r="W3" s="28" t="s">
        <v>24</v>
      </c>
      <c r="X3" s="28" t="s">
        <v>25</v>
      </c>
      <c r="Y3" s="28" t="s">
        <v>26</v>
      </c>
      <c r="Z3" s="23"/>
      <c r="AA3" s="13"/>
      <c r="AD3" s="13"/>
      <c r="AE3" s="13"/>
      <c r="AF3" s="13"/>
      <c r="AG3" s="13"/>
      <c r="AH3" s="13"/>
      <c r="AI3" s="13"/>
      <c r="AJ3" s="13"/>
      <c r="AK3" s="13"/>
      <c r="AL3" s="2"/>
      <c r="AM3" s="3"/>
      <c r="AN3" s="11"/>
      <c r="AQ3" s="12"/>
      <c r="AR3" s="11"/>
      <c r="AS3" s="8"/>
      <c r="AT3" s="8"/>
      <c r="AU3" s="9"/>
    </row>
    <row r="4" spans="1:47" ht="18">
      <c r="A4" s="30" t="s">
        <v>121</v>
      </c>
      <c r="B4" s="30" t="s">
        <v>122</v>
      </c>
      <c r="C4" s="30" t="s">
        <v>123</v>
      </c>
      <c r="D4" s="30" t="s">
        <v>123</v>
      </c>
      <c r="E4" s="288"/>
      <c r="F4" s="29" t="s">
        <v>8</v>
      </c>
      <c r="G4" s="56" t="s">
        <v>42</v>
      </c>
      <c r="H4" s="281" t="s">
        <v>30</v>
      </c>
      <c r="I4" s="61" t="s">
        <v>31</v>
      </c>
      <c r="J4" s="264"/>
      <c r="K4" s="63" t="s">
        <v>12</v>
      </c>
      <c r="L4" s="57"/>
      <c r="M4" s="265"/>
      <c r="N4" s="29" t="s">
        <v>18</v>
      </c>
      <c r="O4" s="30" t="s">
        <v>19</v>
      </c>
      <c r="P4" s="29" t="s">
        <v>20</v>
      </c>
      <c r="Q4" s="30" t="s">
        <v>21</v>
      </c>
      <c r="R4" s="30" t="s">
        <v>22</v>
      </c>
      <c r="S4" s="29" t="s">
        <v>23</v>
      </c>
      <c r="T4" s="265"/>
      <c r="U4" s="52"/>
      <c r="V4" s="65"/>
      <c r="W4" s="65"/>
      <c r="X4" s="65"/>
      <c r="Y4" s="65"/>
      <c r="Z4" s="23"/>
      <c r="AL4" s="2"/>
      <c r="AM4" s="3"/>
      <c r="AN4" s="2"/>
      <c r="AQ4" s="12"/>
      <c r="AR4" s="11"/>
      <c r="AS4" s="8"/>
      <c r="AT4" s="8"/>
      <c r="AU4" s="9"/>
    </row>
    <row r="5" spans="1:47" ht="16.5">
      <c r="A5" s="59" t="s">
        <v>32</v>
      </c>
      <c r="B5" s="28"/>
      <c r="C5" s="28"/>
      <c r="D5" s="28"/>
      <c r="E5" s="28"/>
      <c r="F5" s="28"/>
      <c r="G5" s="60"/>
      <c r="H5" s="33"/>
      <c r="I5" s="61"/>
      <c r="J5" s="62"/>
      <c r="K5" s="63"/>
      <c r="L5" s="57"/>
      <c r="M5" s="64"/>
      <c r="N5" s="58"/>
      <c r="O5" s="28"/>
      <c r="P5" s="58"/>
      <c r="Q5" s="28"/>
      <c r="R5" s="28"/>
      <c r="S5" s="58"/>
      <c r="T5" s="64"/>
      <c r="U5" s="52"/>
      <c r="V5" s="49"/>
      <c r="W5" s="49"/>
      <c r="X5" s="49"/>
      <c r="Y5" s="49"/>
      <c r="Z5" s="23"/>
      <c r="AL5" s="2"/>
      <c r="AM5" s="3"/>
      <c r="AN5" s="11"/>
      <c r="AQ5" s="12"/>
      <c r="AR5" s="11"/>
      <c r="AS5" s="8"/>
      <c r="AT5" s="8"/>
      <c r="AU5" s="9"/>
    </row>
    <row r="6" spans="1:47" ht="15.75">
      <c r="A6" s="31" t="s">
        <v>13</v>
      </c>
      <c r="B6" s="231"/>
      <c r="C6" s="231"/>
      <c r="D6" s="232"/>
      <c r="E6" s="190">
        <f>$C$56</f>
        <v>26.003407155025553</v>
      </c>
      <c r="F6" s="213">
        <v>10</v>
      </c>
      <c r="G6" s="33">
        <f t="shared" ref="G6:G14" si="0">W6+X6*E6+Y6*D6</f>
        <v>-0.25689574105621804</v>
      </c>
      <c r="H6" s="70">
        <f>Modèles!D28</f>
        <v>0.83350486950461589</v>
      </c>
      <c r="I6" s="237" t="e">
        <f>-0.5*LN(1+(G6/H6-1/Modèles!D$26)/(1-G6))</f>
        <v>#NUM!</v>
      </c>
      <c r="J6" s="237" t="e">
        <f>1-(1+EXP(2*(I6+IF(Introduction!D$12="45q15",Modèles!$C$24,Modèles!$C$27))))/(1+EXP(2*(I6+Modèles!$C$33)))</f>
        <v>#NUM!</v>
      </c>
      <c r="K6" s="238" t="e">
        <f>T6</f>
        <v>#NUM!</v>
      </c>
      <c r="L6" s="66"/>
      <c r="M6" s="31" t="s">
        <v>13</v>
      </c>
      <c r="N6" s="32">
        <f>7.5</f>
        <v>7.5</v>
      </c>
      <c r="O6" s="33">
        <f t="shared" ref="O6:O7" si="1">D6</f>
        <v>0</v>
      </c>
      <c r="P6" s="70">
        <f t="shared" ref="P6:P14" si="2">(1-(E6+N6)/80)/(1-E6/80)</f>
        <v>0.86110234729934365</v>
      </c>
      <c r="Q6" s="33" t="e">
        <f t="shared" ref="Q6:Q14" si="3">LN(O6/P6)/3</f>
        <v>#NUM!</v>
      </c>
      <c r="R6" s="32">
        <f t="shared" ref="R6:R14" si="4">N6/2</f>
        <v>3.75</v>
      </c>
      <c r="S6" s="34" t="e">
        <f t="shared" ref="S6:S14" si="5">R6*(1-Q6)</f>
        <v>#NUM!</v>
      </c>
      <c r="T6" s="67" t="e">
        <f>Date_of_survey-S6</f>
        <v>#NUM!</v>
      </c>
      <c r="U6" s="52"/>
      <c r="V6" s="31">
        <f>10</f>
        <v>10</v>
      </c>
      <c r="W6" s="33">
        <v>-0.28939999999999999</v>
      </c>
      <c r="X6" s="128">
        <v>1.25E-3</v>
      </c>
      <c r="Y6" s="33">
        <v>1.2559</v>
      </c>
      <c r="Z6" s="23"/>
      <c r="AL6" s="2"/>
      <c r="AM6" s="3"/>
      <c r="AN6" s="2"/>
      <c r="AQ6" s="12"/>
      <c r="AR6" s="11"/>
      <c r="AS6" s="8"/>
      <c r="AT6" s="8"/>
      <c r="AU6" s="9"/>
    </row>
    <row r="7" spans="1:47" ht="15.75">
      <c r="A7" s="31" t="s">
        <v>14</v>
      </c>
      <c r="B7" s="231"/>
      <c r="C7" s="231"/>
      <c r="D7" s="232"/>
      <c r="E7" s="190">
        <f t="shared" ref="E7:E14" si="6">$C$56</f>
        <v>26.003407155025553</v>
      </c>
      <c r="F7" s="213">
        <v>15</v>
      </c>
      <c r="G7" s="33">
        <f t="shared" si="0"/>
        <v>-0.11407243611584328</v>
      </c>
      <c r="H7" s="70">
        <f>Modèles!D29</f>
        <v>0.81376319977144118</v>
      </c>
      <c r="I7" s="237" t="e">
        <f>-0.5*LN(1+(G7/H7-1/Modèles!D$26)/(1-G7))</f>
        <v>#NUM!</v>
      </c>
      <c r="J7" s="237" t="e">
        <f>1-(1+EXP(2*(I7+IF(Introduction!D$12="45q15",Modèles!$C$24,Modèles!$C$27))))/(1+EXP(2*(I7+Modèles!$C$33)))</f>
        <v>#NUM!</v>
      </c>
      <c r="K7" s="238" t="e">
        <f>T7</f>
        <v>#NUM!</v>
      </c>
      <c r="L7" s="66"/>
      <c r="M7" s="31" t="s">
        <v>14</v>
      </c>
      <c r="N7" s="32">
        <f>N6+5</f>
        <v>12.5</v>
      </c>
      <c r="O7" s="33">
        <f t="shared" si="1"/>
        <v>0</v>
      </c>
      <c r="P7" s="70">
        <f t="shared" si="2"/>
        <v>0.76850391216557279</v>
      </c>
      <c r="Q7" s="33" t="e">
        <f t="shared" si="3"/>
        <v>#NUM!</v>
      </c>
      <c r="R7" s="32">
        <f t="shared" si="4"/>
        <v>6.25</v>
      </c>
      <c r="S7" s="34" t="e">
        <f t="shared" si="5"/>
        <v>#NUM!</v>
      </c>
      <c r="T7" s="67" t="e">
        <f>Date_of_survey-S7</f>
        <v>#NUM!</v>
      </c>
      <c r="U7" s="52"/>
      <c r="V7" s="80">
        <f>V6+5</f>
        <v>15</v>
      </c>
      <c r="W7" s="33">
        <v>-0.17180000000000001</v>
      </c>
      <c r="X7" s="128">
        <v>2.2200000000000002E-3</v>
      </c>
      <c r="Y7" s="33">
        <v>1.1123000000000001</v>
      </c>
      <c r="Z7" s="23"/>
      <c r="AL7" s="2"/>
      <c r="AM7" s="3"/>
      <c r="AN7" s="11"/>
      <c r="AQ7" s="12"/>
      <c r="AR7" s="11"/>
      <c r="AS7" s="8"/>
      <c r="AT7" s="8"/>
      <c r="AU7" s="9"/>
    </row>
    <row r="8" spans="1:47" ht="15.75">
      <c r="A8" s="31" t="s">
        <v>1</v>
      </c>
      <c r="B8" s="231"/>
      <c r="C8" s="231"/>
      <c r="D8" s="232">
        <v>0.93269999999999997</v>
      </c>
      <c r="E8" s="190">
        <f t="shared" si="6"/>
        <v>26.003407155025553</v>
      </c>
      <c r="F8" s="213">
        <v>20</v>
      </c>
      <c r="G8" s="33">
        <f t="shared" si="0"/>
        <v>0.92709942461669503</v>
      </c>
      <c r="H8" s="70">
        <f>Modèles!D30</f>
        <v>0.78872756141577427</v>
      </c>
      <c r="I8" s="237">
        <f>-0.5*LN(1+(G8/H8-1/Modèles!D$26)/(1-G8))</f>
        <v>-0.10407673264594544</v>
      </c>
      <c r="J8" s="237">
        <f>1-(1+EXP(2*(I8+IF(Introduction!D$12="45q15",Modèles!$C$24,Modèles!$C$27))))/(1+EXP(2*(I8+Modèles!$C$33)))</f>
        <v>0.20568563685646934</v>
      </c>
      <c r="K8" s="238">
        <f>T8</f>
        <v>1981.0608399346193</v>
      </c>
      <c r="L8" s="66"/>
      <c r="M8" s="31" t="s">
        <v>1</v>
      </c>
      <c r="N8" s="32">
        <f t="shared" ref="N8:N14" si="7">N7+5</f>
        <v>17.5</v>
      </c>
      <c r="O8" s="33">
        <f>D8</f>
        <v>0.93269999999999997</v>
      </c>
      <c r="P8" s="70">
        <f t="shared" si="2"/>
        <v>0.67590547703180193</v>
      </c>
      <c r="Q8" s="33">
        <f t="shared" si="3"/>
        <v>0.1073434554475251</v>
      </c>
      <c r="R8" s="32">
        <f t="shared" si="4"/>
        <v>8.75</v>
      </c>
      <c r="S8" s="34">
        <f t="shared" si="5"/>
        <v>7.8107447648341557</v>
      </c>
      <c r="T8" s="67">
        <f>Date_of_survey-S8</f>
        <v>1981.0608399346193</v>
      </c>
      <c r="U8" s="52"/>
      <c r="V8" s="80">
        <f t="shared" ref="V8:V14" si="8">V7+5</f>
        <v>20</v>
      </c>
      <c r="W8" s="33">
        <v>-0.15129999999999999</v>
      </c>
      <c r="X8" s="128">
        <v>3.7200000000000002E-3</v>
      </c>
      <c r="Y8" s="33">
        <v>1.0525</v>
      </c>
      <c r="Z8" s="23"/>
      <c r="AL8" s="2"/>
      <c r="AM8" s="3"/>
      <c r="AN8" s="2"/>
      <c r="AQ8" s="12"/>
      <c r="AR8" s="11"/>
      <c r="AS8" s="8"/>
      <c r="AT8" s="8"/>
      <c r="AU8" s="9"/>
    </row>
    <row r="9" spans="1:47" ht="15.75">
      <c r="A9" s="31" t="s">
        <v>2</v>
      </c>
      <c r="B9" s="231"/>
      <c r="C9" s="231"/>
      <c r="D9" s="232">
        <v>0.90410000000000001</v>
      </c>
      <c r="E9" s="190">
        <f t="shared" si="6"/>
        <v>26.003407155025553</v>
      </c>
      <c r="F9" s="213">
        <v>25</v>
      </c>
      <c r="G9" s="33">
        <f t="shared" si="0"/>
        <v>0.89981943592844971</v>
      </c>
      <c r="H9" s="70">
        <f>Modèles!D31</f>
        <v>0.75558816659335271</v>
      </c>
      <c r="I9" s="237">
        <f>-0.5*LN(1+(G9/H9-1/Modèles!D$26)/(1-G9))</f>
        <v>-0.13980109387277254</v>
      </c>
      <c r="J9" s="237">
        <f>1-(1+EXP(2*(I9+IF(Introduction!D$12="45q15",Modèles!$C$24,Modèles!$C$27))))/(1+EXP(2*(I9+Modèles!$C$33)))</f>
        <v>0.19562430646893947</v>
      </c>
      <c r="K9" s="238">
        <f>T9</f>
        <v>1979.2649332027343</v>
      </c>
      <c r="L9" s="66"/>
      <c r="M9" s="31" t="s">
        <v>2</v>
      </c>
      <c r="N9" s="32">
        <f t="shared" si="7"/>
        <v>22.5</v>
      </c>
      <c r="O9" s="33">
        <f t="shared" ref="O9:O14" si="9">D9</f>
        <v>0.90410000000000001</v>
      </c>
      <c r="P9" s="70">
        <f t="shared" si="2"/>
        <v>0.58330704189803118</v>
      </c>
      <c r="Q9" s="33">
        <f t="shared" si="3"/>
        <v>0.14607542251384892</v>
      </c>
      <c r="R9" s="32">
        <f t="shared" si="4"/>
        <v>11.25</v>
      </c>
      <c r="S9" s="34">
        <f t="shared" si="5"/>
        <v>9.6066514967191985</v>
      </c>
      <c r="T9" s="67">
        <f>Date_of_survey-S9</f>
        <v>1979.2649332027343</v>
      </c>
      <c r="U9" s="52"/>
      <c r="V9" s="80">
        <f t="shared" si="8"/>
        <v>25</v>
      </c>
      <c r="W9" s="33">
        <v>-0.18079999999999999</v>
      </c>
      <c r="X9" s="128">
        <v>5.8599999999999998E-3</v>
      </c>
      <c r="Y9" s="33">
        <v>1.0266999999999999</v>
      </c>
      <c r="Z9" s="23"/>
      <c r="AL9" s="2"/>
      <c r="AM9" s="3"/>
      <c r="AN9" s="11"/>
      <c r="AQ9" s="12"/>
      <c r="AR9" s="11"/>
      <c r="AS9" s="8"/>
      <c r="AT9" s="8"/>
      <c r="AU9" s="9"/>
    </row>
    <row r="10" spans="1:47" ht="15.75">
      <c r="A10" s="31" t="s">
        <v>3</v>
      </c>
      <c r="B10" s="231"/>
      <c r="C10" s="231"/>
      <c r="D10" s="232">
        <v>0.85209999999999997</v>
      </c>
      <c r="E10" s="190">
        <f t="shared" si="6"/>
        <v>26.003407155025553</v>
      </c>
      <c r="F10" s="213">
        <v>30</v>
      </c>
      <c r="G10" s="33">
        <f t="shared" si="0"/>
        <v>0.84979114332197614</v>
      </c>
      <c r="H10" s="70">
        <f>Modèles!D32</f>
        <v>0.71027415735971011</v>
      </c>
      <c r="I10" s="237">
        <f>-0.5*LN(1+(G10/H10-1/Modèles!D$26)/(1-G10))</f>
        <v>-0.11238931091227751</v>
      </c>
      <c r="J10" s="237">
        <f>1-(1+EXP(2*(I10+IF(Introduction!D$12="45q15",Modèles!$C$24,Modèles!$C$27))))/(1+EXP(2*(I10+Modèles!$C$33)))</f>
        <v>0.20331868725825153</v>
      </c>
      <c r="K10" s="238">
        <f>IF(T10&lt;T9,T10,NA())</f>
        <v>1977.6509128200203</v>
      </c>
      <c r="L10" s="66"/>
      <c r="M10" s="31" t="s">
        <v>3</v>
      </c>
      <c r="N10" s="32">
        <f t="shared" si="7"/>
        <v>27.5</v>
      </c>
      <c r="O10" s="33">
        <f t="shared" si="9"/>
        <v>0.85209999999999997</v>
      </c>
      <c r="P10" s="70">
        <f t="shared" si="2"/>
        <v>0.49070860676426031</v>
      </c>
      <c r="Q10" s="33">
        <f t="shared" si="3"/>
        <v>0.18395113604122107</v>
      </c>
      <c r="R10" s="32">
        <f t="shared" si="4"/>
        <v>13.75</v>
      </c>
      <c r="S10" s="34">
        <f t="shared" si="5"/>
        <v>11.22067187943321</v>
      </c>
      <c r="T10" s="67">
        <f t="shared" ref="T10:T14" si="10">Date_of_survey-S10</f>
        <v>1977.6509128200203</v>
      </c>
      <c r="U10" s="52"/>
      <c r="V10" s="80">
        <f t="shared" si="8"/>
        <v>30</v>
      </c>
      <c r="W10" s="33">
        <v>-0.25109999999999999</v>
      </c>
      <c r="X10" s="128">
        <v>8.8500000000000002E-3</v>
      </c>
      <c r="Y10" s="33">
        <v>1.0219</v>
      </c>
      <c r="Z10" s="23"/>
      <c r="AL10" s="2"/>
      <c r="AM10" s="3"/>
      <c r="AN10" s="2"/>
      <c r="AQ10" s="12"/>
      <c r="AR10" s="11"/>
      <c r="AS10" s="8"/>
      <c r="AT10" s="8"/>
      <c r="AU10" s="9"/>
    </row>
    <row r="11" spans="1:47" ht="15.75">
      <c r="A11" s="31" t="s">
        <v>4</v>
      </c>
      <c r="B11" s="231"/>
      <c r="C11" s="231"/>
      <c r="D11" s="232">
        <v>0.77110000000000001</v>
      </c>
      <c r="E11" s="190">
        <f t="shared" si="6"/>
        <v>26.003407155025553</v>
      </c>
      <c r="F11" s="213">
        <v>35</v>
      </c>
      <c r="G11" s="33">
        <f t="shared" si="0"/>
        <v>0.77066565008517895</v>
      </c>
      <c r="H11" s="70">
        <f>Modèles!D33</f>
        <v>0.64857401363075629</v>
      </c>
      <c r="I11" s="237">
        <f>-0.5*LN(1+(G11/H11-1/Modèles!D$26)/(1-G11))</f>
        <v>-6.0848895675633737E-2</v>
      </c>
      <c r="J11" s="237">
        <f>1-(1+EXP(2*(I11+IF(Introduction!D$12="45q15",Modèles!$C$24,Modèles!$C$27))))/(1+EXP(2*(I11+Modèles!$C$33)))</f>
        <v>0.21823772025688037</v>
      </c>
      <c r="K11" s="238">
        <f>IF(T11&lt;T10,T11,NA())</f>
        <v>1976.2024850025107</v>
      </c>
      <c r="L11" s="66"/>
      <c r="M11" s="31" t="s">
        <v>4</v>
      </c>
      <c r="N11" s="32">
        <f t="shared" si="7"/>
        <v>32.5</v>
      </c>
      <c r="O11" s="33">
        <f t="shared" si="9"/>
        <v>0.77110000000000001</v>
      </c>
      <c r="P11" s="70">
        <f t="shared" si="2"/>
        <v>0.39811017163048951</v>
      </c>
      <c r="Q11" s="33">
        <f t="shared" si="3"/>
        <v>0.22036309557274425</v>
      </c>
      <c r="R11" s="32">
        <f t="shared" si="4"/>
        <v>16.25</v>
      </c>
      <c r="S11" s="34">
        <f t="shared" si="5"/>
        <v>12.669099696942906</v>
      </c>
      <c r="T11" s="67">
        <f t="shared" si="10"/>
        <v>1976.2024850025107</v>
      </c>
      <c r="U11" s="52"/>
      <c r="V11" s="80">
        <f t="shared" si="8"/>
        <v>35</v>
      </c>
      <c r="W11" s="33">
        <v>-0.3644</v>
      </c>
      <c r="X11" s="128">
        <v>1.2869999999999999E-2</v>
      </c>
      <c r="Y11" s="33">
        <v>1.038</v>
      </c>
      <c r="Z11" s="23"/>
      <c r="AL11" s="2"/>
      <c r="AM11" s="3"/>
      <c r="AN11" s="11"/>
      <c r="AQ11" s="12"/>
      <c r="AR11" s="11"/>
      <c r="AS11" s="8"/>
      <c r="AT11" s="8"/>
      <c r="AU11" s="9"/>
    </row>
    <row r="12" spans="1:47" ht="15.75">
      <c r="A12" s="31" t="s">
        <v>5</v>
      </c>
      <c r="B12" s="231"/>
      <c r="C12" s="231"/>
      <c r="D12" s="232">
        <v>0.69340000000000002</v>
      </c>
      <c r="E12" s="190">
        <f t="shared" si="6"/>
        <v>26.003407155025553</v>
      </c>
      <c r="F12" s="213">
        <v>40</v>
      </c>
      <c r="G12" s="33">
        <f t="shared" si="0"/>
        <v>0.69427417843270867</v>
      </c>
      <c r="H12" s="70">
        <f>Modèles!D34</f>
        <v>0.56571082144915019</v>
      </c>
      <c r="I12" s="237">
        <f>-0.5*LN(1+(G12/H12-1/Modèles!D$26)/(1-G12))</f>
        <v>-0.10134231913112031</v>
      </c>
      <c r="J12" s="237">
        <f>1-(1+EXP(2*(I12+IF(Introduction!D$12="45q15",Modèles!$C$24,Modèles!$C$27))))/(1+EXP(2*(I12+Modèles!$C$33)))</f>
        <v>0.20646760664299468</v>
      </c>
      <c r="K12" s="238">
        <f>IF(T12&lt;T11,T12,NA())</f>
        <v>1975.2442024371992</v>
      </c>
      <c r="L12" s="66"/>
      <c r="M12" s="31" t="s">
        <v>5</v>
      </c>
      <c r="N12" s="32">
        <f t="shared" si="7"/>
        <v>37.5</v>
      </c>
      <c r="O12" s="33">
        <f t="shared" si="9"/>
        <v>0.69340000000000002</v>
      </c>
      <c r="P12" s="70">
        <f t="shared" si="2"/>
        <v>0.3055117364967187</v>
      </c>
      <c r="Q12" s="33">
        <f t="shared" si="3"/>
        <v>0.27320627934644398</v>
      </c>
      <c r="R12" s="32">
        <f t="shared" si="4"/>
        <v>18.75</v>
      </c>
      <c r="S12" s="34">
        <f t="shared" si="5"/>
        <v>13.627382262254175</v>
      </c>
      <c r="T12" s="67">
        <f t="shared" si="10"/>
        <v>1975.2442024371992</v>
      </c>
      <c r="U12" s="52"/>
      <c r="V12" s="80">
        <f t="shared" si="8"/>
        <v>40</v>
      </c>
      <c r="W12" s="33">
        <v>-0.5181</v>
      </c>
      <c r="X12" s="128">
        <v>1.7950000000000001E-2</v>
      </c>
      <c r="Y12" s="33">
        <v>1.0752999999999999</v>
      </c>
      <c r="Z12" s="23"/>
      <c r="AL12" s="2"/>
      <c r="AM12" s="3"/>
      <c r="AN12" s="11"/>
      <c r="AQ12" s="12"/>
      <c r="AR12" s="11"/>
      <c r="AS12" s="8"/>
      <c r="AT12" s="8"/>
      <c r="AU12" s="9"/>
    </row>
    <row r="13" spans="1:47" ht="15.75">
      <c r="A13" s="31" t="s">
        <v>6</v>
      </c>
      <c r="B13" s="231"/>
      <c r="C13" s="231"/>
      <c r="D13" s="232">
        <v>0.53869999999999996</v>
      </c>
      <c r="E13" s="190">
        <f t="shared" si="6"/>
        <v>26.003407155025553</v>
      </c>
      <c r="F13" s="213">
        <v>45</v>
      </c>
      <c r="G13" s="33">
        <f t="shared" si="0"/>
        <v>0.52843791557069841</v>
      </c>
      <c r="H13" s="70">
        <f>Modèles!D35</f>
        <v>0.45955087928190458</v>
      </c>
      <c r="I13" s="237">
        <f>-0.5*LN(1+(G13/H13-1/Modèles!D$26)/(1-G13))</f>
        <v>9.2748445492692368E-3</v>
      </c>
      <c r="J13" s="237">
        <f>1-(1+EXP(2*(I13+IF(Introduction!D$12="45q15",Modèles!$C$24,Modèles!$C$27))))/(1+EXP(2*(I13+Modèles!$C$33)))</f>
        <v>0.23940896989824401</v>
      </c>
      <c r="K13" s="238">
        <f>IF(T13&lt;T12,T13,NA())</f>
        <v>1974.1968573268646</v>
      </c>
      <c r="L13" s="66"/>
      <c r="M13" s="31" t="s">
        <v>6</v>
      </c>
      <c r="N13" s="32">
        <f t="shared" si="7"/>
        <v>42.5</v>
      </c>
      <c r="O13" s="33">
        <f t="shared" si="9"/>
        <v>0.53869999999999996</v>
      </c>
      <c r="P13" s="70">
        <f t="shared" si="2"/>
        <v>0.21291330136294789</v>
      </c>
      <c r="Q13" s="33">
        <f t="shared" si="3"/>
        <v>0.30942459423111562</v>
      </c>
      <c r="R13" s="32">
        <f t="shared" si="4"/>
        <v>21.25</v>
      </c>
      <c r="S13" s="34">
        <f t="shared" si="5"/>
        <v>14.674727372588794</v>
      </c>
      <c r="T13" s="67">
        <f t="shared" si="10"/>
        <v>1974.1968573268646</v>
      </c>
      <c r="U13" s="52"/>
      <c r="V13" s="80">
        <f t="shared" si="8"/>
        <v>45</v>
      </c>
      <c r="W13" s="33">
        <v>-0.68799999999999994</v>
      </c>
      <c r="X13" s="128">
        <v>2.342E-2</v>
      </c>
      <c r="Y13" s="33">
        <v>1.1275999999999999</v>
      </c>
      <c r="Z13" s="23"/>
      <c r="AL13" s="2"/>
      <c r="AM13" s="3"/>
      <c r="AN13" s="11"/>
      <c r="AQ13" s="12"/>
      <c r="AR13" s="11"/>
      <c r="AS13" s="8"/>
      <c r="AT13" s="8"/>
      <c r="AU13" s="9"/>
    </row>
    <row r="14" spans="1:47" ht="15.75">
      <c r="A14" s="36" t="s">
        <v>7</v>
      </c>
      <c r="B14" s="233"/>
      <c r="C14" s="233"/>
      <c r="D14" s="234">
        <v>0.37530000000000002</v>
      </c>
      <c r="E14" s="191">
        <f t="shared" si="6"/>
        <v>26.003407155025553</v>
      </c>
      <c r="F14" s="214">
        <v>50</v>
      </c>
      <c r="G14" s="38">
        <f t="shared" si="0"/>
        <v>0.34042804868824539</v>
      </c>
      <c r="H14" s="38">
        <f>Modèles!D36</f>
        <v>0.33555954367971813</v>
      </c>
      <c r="I14" s="239">
        <f>-0.5*LN(1+(G14/H14-1/Modèles!D$26)/(1-G14))</f>
        <v>0.12321418780842035</v>
      </c>
      <c r="J14" s="239">
        <f>1-(1+EXP(2*(I14+IF(Introduction!D$12="45q15",Modèles!$C$24,Modèles!$C$27))))/(1+EXP(2*(I14+Modèles!$C$33)))</f>
        <v>0.27559514706385935</v>
      </c>
      <c r="K14" s="240">
        <f>IF(T14&lt;T13,T14,NA())</f>
        <v>1974.1276916891889</v>
      </c>
      <c r="L14" s="66"/>
      <c r="M14" s="36" t="s">
        <v>7</v>
      </c>
      <c r="N14" s="37">
        <f t="shared" si="7"/>
        <v>47.5</v>
      </c>
      <c r="O14" s="38">
        <f t="shared" si="9"/>
        <v>0.37530000000000002</v>
      </c>
      <c r="P14" s="38">
        <f t="shared" si="2"/>
        <v>0.12031486622917707</v>
      </c>
      <c r="Q14" s="38">
        <f t="shared" si="3"/>
        <v>0.37920450483095935</v>
      </c>
      <c r="R14" s="37">
        <f t="shared" si="4"/>
        <v>23.75</v>
      </c>
      <c r="S14" s="39">
        <f t="shared" si="5"/>
        <v>14.743893010264715</v>
      </c>
      <c r="T14" s="40">
        <f t="shared" si="10"/>
        <v>1974.1276916891889</v>
      </c>
      <c r="U14" s="52"/>
      <c r="V14" s="36">
        <f t="shared" si="8"/>
        <v>50</v>
      </c>
      <c r="W14" s="38">
        <v>-0.8054</v>
      </c>
      <c r="X14" s="117">
        <v>2.7210000000000002E-2</v>
      </c>
      <c r="Y14" s="38">
        <v>1.1677999999999999</v>
      </c>
      <c r="Z14" s="23"/>
      <c r="AL14" s="2"/>
      <c r="AM14" s="3"/>
      <c r="AN14" s="11"/>
      <c r="AQ14" s="12"/>
      <c r="AR14" s="11"/>
      <c r="AS14" s="8"/>
      <c r="AT14" s="8"/>
      <c r="AU14" s="9"/>
    </row>
    <row r="15" spans="1:47" ht="15.75">
      <c r="A15" s="24"/>
      <c r="B15" s="68"/>
      <c r="C15" s="52"/>
      <c r="D15" s="23"/>
      <c r="E15" s="23"/>
      <c r="F15" s="23"/>
      <c r="G15" s="101"/>
      <c r="H15" s="23"/>
      <c r="I15" s="101"/>
      <c r="K15" s="85"/>
      <c r="L15" s="23"/>
      <c r="M15" s="52"/>
      <c r="N15" s="42"/>
      <c r="O15" s="43"/>
      <c r="P15" s="52"/>
      <c r="Q15" s="44"/>
      <c r="R15" s="45"/>
      <c r="S15" s="44"/>
      <c r="T15" s="44"/>
      <c r="U15" s="52"/>
      <c r="V15" s="47"/>
      <c r="W15" s="23"/>
      <c r="X15" s="23"/>
      <c r="Y15" s="23"/>
      <c r="Z15" s="69"/>
      <c r="AL15" s="2"/>
      <c r="AM15" s="3"/>
      <c r="AN15" s="2"/>
      <c r="AQ15" s="12"/>
      <c r="AR15" s="11"/>
      <c r="AS15" s="8"/>
      <c r="AT15" s="8"/>
      <c r="AU15" s="9"/>
    </row>
    <row r="16" spans="1:47" ht="15.75">
      <c r="A16" s="208" t="s">
        <v>111</v>
      </c>
      <c r="B16" s="23"/>
      <c r="C16" s="23"/>
      <c r="D16" s="23"/>
      <c r="E16" s="23"/>
      <c r="F16" s="23"/>
      <c r="G16" s="54" t="s">
        <v>157</v>
      </c>
      <c r="H16" s="208"/>
      <c r="K16" s="85"/>
      <c r="L16" s="23"/>
      <c r="M16" s="47"/>
      <c r="N16" s="47"/>
      <c r="O16" s="48"/>
      <c r="P16" s="47"/>
      <c r="Q16" s="47"/>
      <c r="R16" s="48"/>
      <c r="S16" s="96" t="s">
        <v>125</v>
      </c>
      <c r="T16" s="226">
        <f>Date_of_survey</f>
        <v>1988.8715846994535</v>
      </c>
      <c r="U16" s="52"/>
      <c r="V16" s="54" t="s">
        <v>136</v>
      </c>
      <c r="W16" s="52"/>
      <c r="Y16" s="52"/>
      <c r="Z16" s="23"/>
      <c r="AL16" s="2"/>
      <c r="AM16" s="3"/>
      <c r="AN16" s="11"/>
      <c r="AQ16" s="12"/>
      <c r="AR16" s="11"/>
      <c r="AS16" s="8"/>
      <c r="AT16" s="8"/>
      <c r="AU16" s="9"/>
    </row>
    <row r="17" spans="1:49" ht="13.9" customHeight="1">
      <c r="A17" s="262"/>
      <c r="B17" s="263"/>
      <c r="C17" s="263"/>
      <c r="D17" s="263"/>
      <c r="E17" s="286" t="s">
        <v>114</v>
      </c>
      <c r="F17" s="26"/>
      <c r="G17" s="263"/>
      <c r="H17" s="263"/>
      <c r="I17" s="263"/>
      <c r="J17" s="26" t="s">
        <v>115</v>
      </c>
      <c r="K17" s="263"/>
      <c r="M17" s="26" t="s">
        <v>116</v>
      </c>
      <c r="N17" s="26" t="s">
        <v>126</v>
      </c>
      <c r="O17" s="26" t="s">
        <v>16</v>
      </c>
      <c r="P17" s="26" t="s">
        <v>17</v>
      </c>
      <c r="Q17" s="26" t="s">
        <v>127</v>
      </c>
      <c r="R17" s="26" t="s">
        <v>128</v>
      </c>
      <c r="S17" s="26" t="s">
        <v>129</v>
      </c>
      <c r="T17" s="166"/>
      <c r="V17" s="88"/>
      <c r="W17" s="88"/>
      <c r="X17" s="88"/>
      <c r="Y17" s="88"/>
      <c r="Z17" s="88"/>
      <c r="AA17" s="88"/>
      <c r="AJ17" s="10"/>
      <c r="AK17" s="10"/>
      <c r="AL17" s="10"/>
      <c r="AM17" s="10"/>
      <c r="AN17" s="2"/>
      <c r="AO17" s="3"/>
      <c r="AP17" s="2"/>
      <c r="AS17" s="12"/>
      <c r="AT17" s="11"/>
      <c r="AU17" s="8"/>
      <c r="AV17" s="8"/>
      <c r="AW17" s="9"/>
    </row>
    <row r="18" spans="1:49" ht="16.5" customHeight="1">
      <c r="A18" s="28" t="s">
        <v>116</v>
      </c>
      <c r="B18" s="28" t="s">
        <v>29</v>
      </c>
      <c r="C18" s="28" t="s">
        <v>117</v>
      </c>
      <c r="D18" s="28" t="s">
        <v>16</v>
      </c>
      <c r="E18" s="287"/>
      <c r="F18" s="28" t="s">
        <v>0</v>
      </c>
      <c r="G18" s="198" t="s">
        <v>118</v>
      </c>
      <c r="H18" s="280" t="s">
        <v>17</v>
      </c>
      <c r="I18" s="28" t="s">
        <v>119</v>
      </c>
      <c r="J18" s="28" t="s">
        <v>120</v>
      </c>
      <c r="K18" s="199"/>
      <c r="M18" s="28" t="s">
        <v>121</v>
      </c>
      <c r="N18" s="28" t="s">
        <v>130</v>
      </c>
      <c r="O18" s="28" t="s">
        <v>131</v>
      </c>
      <c r="P18" s="28" t="s">
        <v>132</v>
      </c>
      <c r="Q18" s="28" t="s">
        <v>133</v>
      </c>
      <c r="R18" s="28" t="s">
        <v>134</v>
      </c>
      <c r="S18" s="28" t="s">
        <v>135</v>
      </c>
      <c r="T18" s="28" t="s">
        <v>12</v>
      </c>
      <c r="V18" s="58" t="s">
        <v>8</v>
      </c>
      <c r="W18" s="28" t="s">
        <v>24</v>
      </c>
      <c r="X18" s="28" t="s">
        <v>25</v>
      </c>
      <c r="Y18" s="28" t="s">
        <v>26</v>
      </c>
      <c r="Z18" s="28" t="s">
        <v>27</v>
      </c>
      <c r="AA18" s="28" t="s">
        <v>28</v>
      </c>
      <c r="AL18" s="9"/>
      <c r="AM18" s="9"/>
      <c r="AN18" s="2"/>
      <c r="AO18" s="3"/>
      <c r="AP18" s="11"/>
      <c r="AS18" s="12"/>
      <c r="AT18" s="11"/>
      <c r="AU18" s="8"/>
      <c r="AV18" s="8"/>
      <c r="AW18" s="9"/>
    </row>
    <row r="19" spans="1:49" ht="16.5" customHeight="1">
      <c r="A19" s="30" t="s">
        <v>121</v>
      </c>
      <c r="B19" s="30" t="s">
        <v>122</v>
      </c>
      <c r="C19" s="30" t="s">
        <v>123</v>
      </c>
      <c r="D19" s="30" t="s">
        <v>123</v>
      </c>
      <c r="E19" s="288"/>
      <c r="F19" s="29" t="s">
        <v>8</v>
      </c>
      <c r="G19" s="56" t="s">
        <v>41</v>
      </c>
      <c r="H19" s="281" t="s">
        <v>30</v>
      </c>
      <c r="I19" s="61" t="s">
        <v>31</v>
      </c>
      <c r="J19" s="264"/>
      <c r="K19" s="63" t="s">
        <v>12</v>
      </c>
      <c r="M19" s="265"/>
      <c r="N19" s="29" t="s">
        <v>18</v>
      </c>
      <c r="O19" s="30" t="s">
        <v>19</v>
      </c>
      <c r="P19" s="29" t="s">
        <v>20</v>
      </c>
      <c r="Q19" s="30" t="s">
        <v>21</v>
      </c>
      <c r="R19" s="30" t="s">
        <v>22</v>
      </c>
      <c r="S19" s="29" t="s">
        <v>23</v>
      </c>
      <c r="T19" s="265"/>
      <c r="V19" s="79"/>
      <c r="W19" s="79"/>
      <c r="X19" s="79"/>
      <c r="Y19" s="79"/>
      <c r="Z19" s="79"/>
      <c r="AA19" s="79"/>
      <c r="AD19" s="10"/>
      <c r="AE19" s="10"/>
      <c r="AF19" s="10"/>
      <c r="AG19" s="10"/>
      <c r="AH19" s="10"/>
      <c r="AI19" s="10"/>
      <c r="AJ19" s="16"/>
      <c r="AK19" s="16"/>
      <c r="AL19" s="16"/>
      <c r="AM19" s="7"/>
      <c r="AN19" s="2"/>
      <c r="AO19" s="3"/>
      <c r="AP19" s="2"/>
      <c r="AS19" s="12"/>
      <c r="AT19" s="11"/>
      <c r="AU19" s="8"/>
      <c r="AV19" s="8"/>
      <c r="AW19" s="9"/>
    </row>
    <row r="20" spans="1:49">
      <c r="A20" s="73"/>
      <c r="B20" s="84"/>
      <c r="C20" s="84"/>
      <c r="D20" s="73"/>
      <c r="E20" s="73"/>
      <c r="F20" s="73"/>
      <c r="G20" s="73"/>
      <c r="H20" s="33"/>
      <c r="I20" s="73"/>
      <c r="J20" s="73"/>
      <c r="K20" s="74"/>
      <c r="M20" s="49"/>
      <c r="N20" s="49"/>
      <c r="O20" s="49"/>
      <c r="P20" s="49"/>
      <c r="Q20" s="49"/>
      <c r="R20" s="49"/>
      <c r="S20" s="49"/>
      <c r="T20" s="49"/>
      <c r="V20" s="88"/>
      <c r="W20" s="73"/>
      <c r="X20" s="73"/>
      <c r="Y20" s="73"/>
      <c r="Z20" s="73"/>
      <c r="AA20" s="73"/>
      <c r="AJ20" s="16"/>
      <c r="AK20" s="16"/>
      <c r="AL20" s="16"/>
      <c r="AM20" s="7"/>
      <c r="AN20" s="2"/>
      <c r="AO20" s="3"/>
      <c r="AP20" s="11"/>
      <c r="AT20" s="11"/>
      <c r="AU20" s="8"/>
      <c r="AV20" s="8"/>
      <c r="AW20" s="9"/>
    </row>
    <row r="21" spans="1:49">
      <c r="A21" s="75" t="s">
        <v>3</v>
      </c>
      <c r="B21" s="231"/>
      <c r="C21" s="231"/>
      <c r="D21" s="232">
        <v>0.93530000000000002</v>
      </c>
      <c r="E21" s="190">
        <f>AVERAGE(E35:E36)</f>
        <v>19.7</v>
      </c>
      <c r="F21" s="217">
        <v>30</v>
      </c>
      <c r="G21" s="76">
        <f>IF(D22&gt;0,W21+X21*AVERAGE(E10,E11)+Y21*E21+Z21*D21+AA21*D22,NA())</f>
        <v>0.88557095381601336</v>
      </c>
      <c r="H21" s="33">
        <f>Modèles!D32</f>
        <v>0.71027415735971011</v>
      </c>
      <c r="I21" s="241">
        <f>-0.5*LN(1+(G21/H21-1/Modèles!$D$30)/(1-G21))</f>
        <v>0.10171528389728809</v>
      </c>
      <c r="J21" s="237">
        <f>1-(1+EXP(2*(I21+IF(Introduction!D$12="45q15",Modèles!$C$24,Modèles!$C$27))))/(1+EXP(2*(I21+Modèles!$C$33)))</f>
        <v>0.26862504398432396</v>
      </c>
      <c r="K21" s="238">
        <f>T21</f>
        <v>1984.138766649744</v>
      </c>
      <c r="M21" s="31" t="s">
        <v>3</v>
      </c>
      <c r="N21" s="35">
        <f>AVERAGE(N10:N11)-E21</f>
        <v>10.3</v>
      </c>
      <c r="O21" s="33">
        <f>SQRT(D21*D22)</f>
        <v>0.89215486323844029</v>
      </c>
      <c r="P21" s="33">
        <f>(1-(AVERAGE(N10:N11)+E10)/80)/(1-(E10+E21)/80)</f>
        <v>0.69967862269708547</v>
      </c>
      <c r="Q21" s="33">
        <f>LN(O21/P21)/3</f>
        <v>8.1006203939911162E-2</v>
      </c>
      <c r="R21" s="32">
        <f>N21/2</f>
        <v>5.15</v>
      </c>
      <c r="S21" s="34">
        <f>R21*(1-Q21)</f>
        <v>4.7328180497094579</v>
      </c>
      <c r="T21" s="35">
        <f>$T$16-S21</f>
        <v>1984.138766649744</v>
      </c>
      <c r="V21" s="31">
        <v>30</v>
      </c>
      <c r="W21" s="33">
        <v>0.56169999999999998</v>
      </c>
      <c r="X21" s="128">
        <v>8.3599999999999994E-3</v>
      </c>
      <c r="Y21" s="128">
        <f>-0.00261</f>
        <v>-2.6099999999999999E-3</v>
      </c>
      <c r="Z21" s="33">
        <f>-1.1231</f>
        <v>-1.1231</v>
      </c>
      <c r="AA21" s="33">
        <v>1.4198999999999999</v>
      </c>
      <c r="AD21" s="16"/>
      <c r="AE21" s="16"/>
      <c r="AF21" s="16"/>
      <c r="AG21" s="16"/>
      <c r="AH21" s="16"/>
      <c r="AI21" s="16"/>
      <c r="AJ21" s="16"/>
      <c r="AK21" s="16"/>
      <c r="AL21" s="16"/>
      <c r="AM21" s="7"/>
      <c r="AN21" s="2"/>
      <c r="AO21" s="3"/>
      <c r="AP21" s="6"/>
      <c r="AQ21" s="9"/>
      <c r="AT21" s="11"/>
      <c r="AU21" s="8"/>
      <c r="AV21" s="8"/>
      <c r="AW21" s="9"/>
    </row>
    <row r="22" spans="1:49">
      <c r="A22" s="75" t="s">
        <v>4</v>
      </c>
      <c r="B22" s="231"/>
      <c r="C22" s="231"/>
      <c r="D22" s="232">
        <v>0.85099999999999998</v>
      </c>
      <c r="E22" s="190">
        <f t="shared" ref="E22:E24" si="11">AVERAGE(E36:E37)</f>
        <v>18.95</v>
      </c>
      <c r="F22" s="217">
        <v>35</v>
      </c>
      <c r="G22" s="76">
        <f t="shared" ref="G22" si="12">IF(D23&gt;0,W22+X22*AVERAGE(E11,E12)+Y22*E22+Z22*D22+AA22*D23,NA())</f>
        <v>0.85515126388415674</v>
      </c>
      <c r="H22" s="33">
        <f>Modèles!D33</f>
        <v>0.64857401363075629</v>
      </c>
      <c r="I22" s="241">
        <f>-0.5*LN(1+(G22/H22-1/Modèles!$D$30)/(1-G22))</f>
        <v>-0.14991916382136489</v>
      </c>
      <c r="J22" s="237">
        <f>1-(1+EXP(2*(I22+IF(Introduction!D$12="45q15",Modèles!$C$24,Modèles!$C$27))))/(1+EXP(2*(I22+Modèles!$C$33)))</f>
        <v>0.19282803724374464</v>
      </c>
      <c r="K22" s="238">
        <f t="shared" ref="K22:K24" si="13">T22</f>
        <v>1981.9272268564146</v>
      </c>
      <c r="M22" s="31" t="s">
        <v>4</v>
      </c>
      <c r="N22" s="35">
        <f t="shared" ref="N22:N24" si="14">AVERAGE(N11:N12)-E22</f>
        <v>16.05</v>
      </c>
      <c r="O22" s="33">
        <f t="shared" ref="O22:O24" si="15">SQRT(D22*D23)</f>
        <v>0.81184943185297598</v>
      </c>
      <c r="P22" s="33">
        <f t="shared" ref="P22:P24" si="16">(1-(AVERAGE(N11:N12)+E11)/80)/(1-(E11+E22)/80)</f>
        <v>0.54203822120467504</v>
      </c>
      <c r="Q22" s="33">
        <f t="shared" ref="Q22:Q25" si="17">LN(O22/P22)/3</f>
        <v>0.13465945881134145</v>
      </c>
      <c r="R22" s="32">
        <f t="shared" ref="R22:R25" si="18">N22/2</f>
        <v>8.0250000000000004</v>
      </c>
      <c r="S22" s="34">
        <f t="shared" ref="S22:S25" si="19">R22*(1-Q22)</f>
        <v>6.9443578430389854</v>
      </c>
      <c r="T22" s="35">
        <f t="shared" ref="T22:T25" si="20">$T$16-S22</f>
        <v>1981.9272268564146</v>
      </c>
      <c r="V22" s="31">
        <v>35</v>
      </c>
      <c r="W22" s="33">
        <v>4.7600000000000003E-2</v>
      </c>
      <c r="X22" s="128">
        <v>1.396E-2</v>
      </c>
      <c r="Y22" s="128">
        <f>-0.00536</f>
        <v>-5.3600000000000002E-3</v>
      </c>
      <c r="Z22" s="33">
        <f>-0.3916</f>
        <v>-0.3916</v>
      </c>
      <c r="AA22" s="33">
        <v>1.1354</v>
      </c>
      <c r="AD22" s="16"/>
      <c r="AE22" s="16"/>
      <c r="AF22" s="16"/>
      <c r="AG22" s="16"/>
      <c r="AH22" s="16"/>
      <c r="AI22" s="16"/>
      <c r="AJ22" s="16"/>
      <c r="AK22" s="16"/>
      <c r="AL22" s="16"/>
      <c r="AM22" s="7"/>
      <c r="AN22" s="2"/>
      <c r="AO22" s="3"/>
      <c r="AP22" s="6"/>
      <c r="AT22" s="11"/>
      <c r="AU22" s="8"/>
      <c r="AV22" s="8"/>
      <c r="AW22" s="9"/>
    </row>
    <row r="23" spans="1:49">
      <c r="A23" s="75" t="s">
        <v>5</v>
      </c>
      <c r="B23" s="231"/>
      <c r="C23" s="231"/>
      <c r="D23" s="232">
        <v>0.77449999999999997</v>
      </c>
      <c r="E23" s="190">
        <f t="shared" si="11"/>
        <v>18.25</v>
      </c>
      <c r="F23" s="217">
        <v>40</v>
      </c>
      <c r="G23" s="76">
        <f>IF(D24&gt;0,W23+X23*AVERAGE(E12,E13)+Y23*E23+Z23*D23+AA23*D24,NA())</f>
        <v>0.74436972466780227</v>
      </c>
      <c r="H23" s="33">
        <f>Modèles!D34</f>
        <v>0.56571082144915019</v>
      </c>
      <c r="I23" s="241">
        <f>-0.5*LN(1+(G23/H23-1/Modèles!$D$30)/(1-G23))</f>
        <v>-8.5954015058015601E-2</v>
      </c>
      <c r="J23" s="237">
        <f>1-(1+EXP(2*(I23+IF(Introduction!D$12="45q15",Modèles!$C$24,Modèles!$C$27))))/(1+EXP(2*(I23+Modèles!$C$33)))</f>
        <v>0.21089892491348472</v>
      </c>
      <c r="K23" s="238">
        <f t="shared" si="13"/>
        <v>1980.0376475422906</v>
      </c>
      <c r="M23" s="31" t="s">
        <v>5</v>
      </c>
      <c r="N23" s="35">
        <f t="shared" si="14"/>
        <v>21.75</v>
      </c>
      <c r="O23" s="33">
        <f t="shared" si="15"/>
        <v>0.68757166899167688</v>
      </c>
      <c r="P23" s="33">
        <f t="shared" si="16"/>
        <v>0.39155040329786833</v>
      </c>
      <c r="Q23" s="33">
        <f t="shared" si="17"/>
        <v>0.18768393957122484</v>
      </c>
      <c r="R23" s="32">
        <f t="shared" si="18"/>
        <v>10.875</v>
      </c>
      <c r="S23" s="34">
        <f t="shared" si="19"/>
        <v>8.8339371571629304</v>
      </c>
      <c r="T23" s="35">
        <f t="shared" si="20"/>
        <v>1980.0376475422906</v>
      </c>
      <c r="V23" s="31">
        <v>40</v>
      </c>
      <c r="W23" s="33">
        <f>-0.3715</f>
        <v>-0.3715</v>
      </c>
      <c r="X23" s="128">
        <v>1.966E-2</v>
      </c>
      <c r="Y23" s="128">
        <f>-0.00744</f>
        <v>-7.4400000000000004E-3</v>
      </c>
      <c r="Z23" s="33">
        <v>0.53939999999999999</v>
      </c>
      <c r="AA23" s="33">
        <v>0.52859999999999996</v>
      </c>
      <c r="AD23" s="16"/>
      <c r="AE23" s="16"/>
      <c r="AF23" s="16"/>
      <c r="AG23" s="16"/>
      <c r="AH23" s="16"/>
      <c r="AI23" s="16"/>
      <c r="AJ23" s="7"/>
      <c r="AK23" s="7"/>
      <c r="AL23" s="7"/>
      <c r="AM23" s="7"/>
      <c r="AN23" s="2"/>
      <c r="AO23" s="3"/>
      <c r="AP23" s="6"/>
      <c r="AT23" s="11"/>
      <c r="AU23" s="8"/>
      <c r="AV23" s="8"/>
      <c r="AW23" s="9"/>
    </row>
    <row r="24" spans="1:49">
      <c r="A24" s="75" t="s">
        <v>6</v>
      </c>
      <c r="B24" s="231"/>
      <c r="C24" s="231"/>
      <c r="D24" s="232">
        <v>0.61040000000000005</v>
      </c>
      <c r="E24" s="190">
        <f t="shared" si="11"/>
        <v>17.75</v>
      </c>
      <c r="F24" s="217">
        <v>45</v>
      </c>
      <c r="G24" s="76">
        <f>IF(D25&gt;0,W24+X24*AVERAGE(E13,E14)+Y24*E24+Z24*D24+AA24*D25,NA())</f>
        <v>0.59194606310051123</v>
      </c>
      <c r="H24" s="33">
        <f>Modèles!D35</f>
        <v>0.45955087928190458</v>
      </c>
      <c r="I24" s="241">
        <f>-0.5*LN(1+(G24/H24-1/Modèles!$D$30)/(1-G24))</f>
        <v>-2.4195829340625107E-2</v>
      </c>
      <c r="J24" s="237">
        <f>1-(1+EXP(2*(I24+IF(Introduction!D$12="45q15",Modèles!$C$24,Modèles!$C$27))))/(1+EXP(2*(I24+Modèles!$C$33)))</f>
        <v>0.2291852325742858</v>
      </c>
      <c r="K24" s="238">
        <f t="shared" si="13"/>
        <v>1978.6106594009398</v>
      </c>
      <c r="M24" s="31" t="s">
        <v>6</v>
      </c>
      <c r="N24" s="35">
        <f t="shared" si="14"/>
        <v>27.25</v>
      </c>
      <c r="O24" s="33">
        <f t="shared" si="15"/>
        <v>0.52059350745087096</v>
      </c>
      <c r="P24" s="33">
        <f t="shared" si="16"/>
        <v>0.24820520051229614</v>
      </c>
      <c r="Q24" s="33">
        <f t="shared" si="17"/>
        <v>0.24690456524670026</v>
      </c>
      <c r="R24" s="32">
        <f t="shared" si="18"/>
        <v>13.625</v>
      </c>
      <c r="S24" s="34">
        <f t="shared" si="19"/>
        <v>10.26092529851371</v>
      </c>
      <c r="T24" s="35">
        <f t="shared" si="20"/>
        <v>1978.6106594009398</v>
      </c>
      <c r="V24" s="31">
        <v>45</v>
      </c>
      <c r="W24" s="33">
        <f>-0.6562</f>
        <v>-0.65620000000000001</v>
      </c>
      <c r="X24" s="128">
        <v>2.5870000000000001E-2</v>
      </c>
      <c r="Y24" s="128">
        <f>-0.00716</f>
        <v>-7.1599999999999997E-3</v>
      </c>
      <c r="Z24" s="33">
        <v>1.0207999999999999</v>
      </c>
      <c r="AA24" s="33">
        <v>0.1789</v>
      </c>
      <c r="AD24" s="16"/>
      <c r="AE24" s="16"/>
      <c r="AF24" s="16"/>
      <c r="AG24" s="16"/>
      <c r="AH24" s="16"/>
      <c r="AI24" s="16"/>
      <c r="AL24" s="9"/>
      <c r="AM24" s="9"/>
      <c r="AN24" s="2"/>
      <c r="AO24" s="3"/>
      <c r="AP24" s="6"/>
      <c r="AT24" s="11"/>
      <c r="AU24" s="8"/>
      <c r="AV24" s="8"/>
      <c r="AW24" s="9"/>
    </row>
    <row r="25" spans="1:49">
      <c r="A25" s="75" t="s">
        <v>7</v>
      </c>
      <c r="B25" s="231"/>
      <c r="C25" s="231"/>
      <c r="D25" s="232">
        <v>0.44400000000000001</v>
      </c>
      <c r="E25" s="190">
        <f>AVERAGE(E39:E40)</f>
        <v>17.25</v>
      </c>
      <c r="F25" s="217"/>
      <c r="G25" s="76" t="e">
        <f>IF(D26&gt;0,W25+X25*E14+Y25*E25+Z25*D25+AA25*D26,NA())</f>
        <v>#N/A</v>
      </c>
      <c r="H25" s="33">
        <f>Modèles!D36</f>
        <v>0.33555954367971813</v>
      </c>
      <c r="I25" s="241" t="e">
        <f>-0.5*LN(1+(G25/H25-1/Modèles!$D$30)/(1-G25))</f>
        <v>#N/A</v>
      </c>
      <c r="J25" s="237" t="e">
        <f>1-(1+EXP(2*(I25+IF(Introduction!D$12="45q15",Modèles!$C$24,Modèles!$C$27))))/(1+EXP(2*(I25+Modèles!$C$33)))</f>
        <v>#N/A</v>
      </c>
      <c r="K25" s="238" t="e">
        <f>T25</f>
        <v>#N/A</v>
      </c>
      <c r="M25" s="80" t="s">
        <v>7</v>
      </c>
      <c r="N25" s="35" t="e">
        <f>IF(D26&gt;0,50-E25,NA())</f>
        <v>#N/A</v>
      </c>
      <c r="O25" s="33" t="e">
        <f>IF(D26&gt;0,SQRT(D25*D26),NA())</f>
        <v>#N/A</v>
      </c>
      <c r="P25" s="33">
        <f>(1-(50+E14)/80)/(1-(E14+E25)/80)</f>
        <v>0.10876090912251812</v>
      </c>
      <c r="Q25" s="33" t="e">
        <f t="shared" si="17"/>
        <v>#N/A</v>
      </c>
      <c r="R25" s="32" t="e">
        <f t="shared" si="18"/>
        <v>#N/A</v>
      </c>
      <c r="S25" s="34" t="e">
        <f t="shared" si="19"/>
        <v>#N/A</v>
      </c>
      <c r="T25" s="35" t="e">
        <f t="shared" si="20"/>
        <v>#N/A</v>
      </c>
      <c r="V25" s="31">
        <v>50</v>
      </c>
      <c r="W25" s="33">
        <f>-0.8341</f>
        <v>-0.83409999999999995</v>
      </c>
      <c r="X25" s="128">
        <v>3.0450000000000001E-2</v>
      </c>
      <c r="Y25" s="128">
        <f>-0.00561</f>
        <v>-5.6100000000000004E-3</v>
      </c>
      <c r="Z25" s="33">
        <v>1.1898</v>
      </c>
      <c r="AA25" s="33">
        <v>5.4100000000000002E-2</v>
      </c>
      <c r="AD25" s="7"/>
      <c r="AE25" s="7"/>
      <c r="AF25" s="7"/>
      <c r="AG25" s="7"/>
      <c r="AH25" s="7"/>
      <c r="AI25" s="7"/>
      <c r="AL25" s="9"/>
      <c r="AM25" s="9"/>
      <c r="AN25" s="2"/>
      <c r="AO25" s="3"/>
      <c r="AP25" s="3"/>
      <c r="AT25" s="11"/>
      <c r="AU25" s="8"/>
      <c r="AV25" s="8"/>
      <c r="AW25" s="9"/>
    </row>
    <row r="26" spans="1:49">
      <c r="A26" s="77" t="s">
        <v>9</v>
      </c>
      <c r="B26" s="233"/>
      <c r="C26" s="233"/>
      <c r="D26" s="234"/>
      <c r="E26" s="188"/>
      <c r="F26" s="188"/>
      <c r="G26" s="78"/>
      <c r="H26" s="78"/>
      <c r="I26" s="78"/>
      <c r="J26" s="78"/>
      <c r="K26" s="78"/>
      <c r="M26" s="79"/>
      <c r="N26" s="79"/>
      <c r="O26" s="79"/>
      <c r="P26" s="79"/>
      <c r="Q26" s="79"/>
      <c r="R26" s="79"/>
      <c r="S26" s="79"/>
      <c r="T26" s="79"/>
      <c r="V26" s="79"/>
      <c r="W26" s="78"/>
      <c r="X26" s="78"/>
      <c r="Y26" s="78"/>
      <c r="Z26" s="78"/>
      <c r="AA26" s="78"/>
      <c r="AL26" s="9"/>
      <c r="AM26" s="9"/>
      <c r="AN26" s="2"/>
      <c r="AO26" s="3"/>
      <c r="AP26" s="3"/>
      <c r="AT26" s="11"/>
      <c r="AU26" s="8"/>
      <c r="AV26" s="8"/>
      <c r="AW26" s="9"/>
    </row>
    <row r="27" spans="1:49" ht="15.75">
      <c r="H27" s="282" t="s">
        <v>10</v>
      </c>
      <c r="I27" s="241">
        <f>AVERAGEA(I22:I24)</f>
        <v>-8.6689669406668515E-2</v>
      </c>
      <c r="J27" s="237">
        <f>1-(1+EXP(2*(I27+IF(Introduction!D$12="45q15",Modèles!$C$24,Modèles!$C$27))))/(1+EXP(2*(I27+Modèles!$C$33)))</f>
        <v>0.21068590564706546</v>
      </c>
      <c r="K27" s="238">
        <f>AVERAGEA(K22:K24)</f>
        <v>1980.1918445998817</v>
      </c>
      <c r="M27" s="41"/>
      <c r="N27" s="42"/>
      <c r="O27" s="43"/>
      <c r="P27" s="41"/>
      <c r="Q27" s="44"/>
      <c r="R27" s="45"/>
      <c r="S27" s="44"/>
      <c r="T27" s="46"/>
      <c r="AL27" s="9"/>
      <c r="AM27" s="9"/>
      <c r="AN27" s="2"/>
      <c r="AO27" s="3"/>
      <c r="AP27" s="3"/>
      <c r="AT27" s="11"/>
      <c r="AU27" s="8"/>
      <c r="AV27" s="8"/>
      <c r="AW27" s="9"/>
    </row>
    <row r="28" spans="1:49">
      <c r="H28" s="282" t="s">
        <v>11</v>
      </c>
      <c r="I28" s="241">
        <f>AVERAGEA(I22:I23)</f>
        <v>-0.11793658943969024</v>
      </c>
      <c r="J28" s="237">
        <f>1-(1+EXP(2*(I28+IF(Introduction!D$12="45q15",Modèles!$C$24,Modèles!$C$27))))/(1+EXP(2*(I28+Modèles!$C$33)))</f>
        <v>0.20174776574134545</v>
      </c>
      <c r="K28" s="238">
        <f>AVERAGEA(K22:K23)</f>
        <v>1980.9824371993527</v>
      </c>
      <c r="M28" s="9"/>
      <c r="N28" s="9"/>
      <c r="O28" s="48"/>
      <c r="P28" s="47"/>
      <c r="Q28" s="47"/>
      <c r="R28" s="48"/>
      <c r="AL28" s="9"/>
      <c r="AM28" s="9"/>
      <c r="AN28" s="2"/>
      <c r="AO28" s="3"/>
      <c r="AP28" s="3"/>
      <c r="AT28" s="11"/>
      <c r="AU28" s="8"/>
      <c r="AV28" s="8"/>
      <c r="AW28" s="9"/>
    </row>
    <row r="29" spans="1:49">
      <c r="H29" s="4"/>
      <c r="I29" s="4"/>
      <c r="J29" s="4"/>
      <c r="K29" s="4"/>
      <c r="M29" s="9"/>
      <c r="N29" s="9"/>
      <c r="O29" s="48"/>
      <c r="P29" s="47"/>
      <c r="Q29" s="47"/>
      <c r="R29" s="48"/>
      <c r="AL29" s="9"/>
      <c r="AM29" s="9"/>
      <c r="AN29" s="2"/>
      <c r="AO29" s="3"/>
      <c r="AP29" s="3"/>
      <c r="AT29" s="11"/>
      <c r="AU29" s="8"/>
      <c r="AV29" s="8"/>
      <c r="AW29" s="9"/>
    </row>
    <row r="30" spans="1:49">
      <c r="A30" s="208" t="s">
        <v>111</v>
      </c>
      <c r="B30" s="23"/>
      <c r="C30" s="23"/>
      <c r="D30" s="23"/>
      <c r="E30" s="23"/>
      <c r="F30" s="23"/>
      <c r="G30" s="54" t="s">
        <v>113</v>
      </c>
      <c r="H30" s="208"/>
      <c r="I30" s="4"/>
      <c r="J30" s="4"/>
      <c r="K30" s="86"/>
      <c r="M30" s="47"/>
      <c r="N30" s="47"/>
      <c r="O30" s="48"/>
      <c r="P30" s="47"/>
      <c r="Q30" s="47"/>
      <c r="R30" s="48"/>
      <c r="S30" s="96" t="s">
        <v>125</v>
      </c>
      <c r="T30" s="226">
        <f>Date_of_survey</f>
        <v>1988.8715846994535</v>
      </c>
      <c r="V30" s="54" t="s">
        <v>136</v>
      </c>
      <c r="AL30" s="9"/>
      <c r="AM30" s="2"/>
      <c r="AN30" s="3"/>
      <c r="AO30" s="3"/>
    </row>
    <row r="31" spans="1:49" ht="16.5" customHeight="1">
      <c r="A31" s="262"/>
      <c r="B31" s="263"/>
      <c r="C31" s="263"/>
      <c r="D31" s="263"/>
      <c r="E31" s="286" t="s">
        <v>114</v>
      </c>
      <c r="F31" s="26"/>
      <c r="G31" s="263"/>
      <c r="H31" s="263"/>
      <c r="I31" s="263"/>
      <c r="J31" s="26" t="s">
        <v>115</v>
      </c>
      <c r="K31" s="263"/>
      <c r="L31" s="86"/>
      <c r="M31" s="26" t="s">
        <v>116</v>
      </c>
      <c r="N31" s="26" t="s">
        <v>126</v>
      </c>
      <c r="O31" s="26" t="s">
        <v>16</v>
      </c>
      <c r="P31" s="26" t="s">
        <v>17</v>
      </c>
      <c r="Q31" s="26" t="s">
        <v>127</v>
      </c>
      <c r="R31" s="26" t="s">
        <v>128</v>
      </c>
      <c r="S31" s="26" t="s">
        <v>129</v>
      </c>
      <c r="T31" s="166"/>
      <c r="V31" s="88"/>
      <c r="W31" s="88"/>
      <c r="X31" s="88"/>
      <c r="Y31" s="88"/>
      <c r="Z31" s="88"/>
      <c r="AA31" s="88"/>
      <c r="AL31" s="9"/>
      <c r="AM31" s="2"/>
      <c r="AN31" s="3"/>
      <c r="AO31" s="3"/>
    </row>
    <row r="32" spans="1:49" ht="16.5" customHeight="1">
      <c r="A32" s="28" t="s">
        <v>116</v>
      </c>
      <c r="B32" s="28" t="s">
        <v>29</v>
      </c>
      <c r="C32" s="28" t="s">
        <v>117</v>
      </c>
      <c r="D32" s="28" t="s">
        <v>16</v>
      </c>
      <c r="E32" s="287"/>
      <c r="F32" s="28" t="s">
        <v>0</v>
      </c>
      <c r="G32" s="198" t="s">
        <v>39</v>
      </c>
      <c r="H32" s="280" t="s">
        <v>17</v>
      </c>
      <c r="I32" s="28" t="s">
        <v>119</v>
      </c>
      <c r="J32" s="28" t="s">
        <v>120</v>
      </c>
      <c r="K32" s="199"/>
      <c r="L32" s="86"/>
      <c r="M32" s="28" t="s">
        <v>121</v>
      </c>
      <c r="N32" s="28" t="s">
        <v>130</v>
      </c>
      <c r="O32" s="28" t="s">
        <v>131</v>
      </c>
      <c r="P32" s="28" t="s">
        <v>132</v>
      </c>
      <c r="Q32" s="28" t="s">
        <v>133</v>
      </c>
      <c r="R32" s="28" t="s">
        <v>134</v>
      </c>
      <c r="S32" s="28" t="s">
        <v>135</v>
      </c>
      <c r="T32" s="28" t="s">
        <v>12</v>
      </c>
      <c r="V32" s="58" t="s">
        <v>8</v>
      </c>
      <c r="W32" s="28" t="s">
        <v>24</v>
      </c>
      <c r="X32" s="28" t="s">
        <v>25</v>
      </c>
      <c r="Y32" s="28" t="s">
        <v>26</v>
      </c>
      <c r="Z32" s="28" t="s">
        <v>27</v>
      </c>
      <c r="AA32" s="28" t="s">
        <v>28</v>
      </c>
      <c r="AL32" s="9"/>
      <c r="AM32" s="2"/>
      <c r="AN32" s="3"/>
      <c r="AO32" s="3"/>
    </row>
    <row r="33" spans="1:41" ht="18">
      <c r="A33" s="30" t="s">
        <v>121</v>
      </c>
      <c r="B33" s="30" t="s">
        <v>122</v>
      </c>
      <c r="C33" s="30" t="s">
        <v>123</v>
      </c>
      <c r="D33" s="30" t="s">
        <v>123</v>
      </c>
      <c r="E33" s="288"/>
      <c r="F33" s="29" t="s">
        <v>8</v>
      </c>
      <c r="G33" s="56" t="s">
        <v>42</v>
      </c>
      <c r="H33" s="281" t="s">
        <v>34</v>
      </c>
      <c r="I33" s="61" t="s">
        <v>31</v>
      </c>
      <c r="J33" s="264"/>
      <c r="K33" s="63" t="s">
        <v>12</v>
      </c>
      <c r="L33" s="90"/>
      <c r="M33" s="265"/>
      <c r="N33" s="29" t="s">
        <v>18</v>
      </c>
      <c r="O33" s="30" t="s">
        <v>19</v>
      </c>
      <c r="P33" s="29" t="s">
        <v>20</v>
      </c>
      <c r="Q33" s="30" t="s">
        <v>21</v>
      </c>
      <c r="R33" s="30" t="s">
        <v>22</v>
      </c>
      <c r="S33" s="29" t="s">
        <v>23</v>
      </c>
      <c r="T33" s="265"/>
      <c r="V33" s="79"/>
      <c r="W33" s="79"/>
      <c r="X33" s="79"/>
      <c r="Y33" s="79"/>
      <c r="Z33" s="79"/>
      <c r="AA33" s="79"/>
      <c r="AL33" s="9"/>
      <c r="AM33" s="2"/>
      <c r="AN33" s="3"/>
      <c r="AO33" s="3"/>
    </row>
    <row r="34" spans="1:41">
      <c r="A34" s="84"/>
      <c r="B34" s="84"/>
      <c r="C34" s="84"/>
      <c r="D34" s="84"/>
      <c r="E34" s="84"/>
      <c r="F34" s="84"/>
      <c r="G34" s="84"/>
      <c r="H34" s="70"/>
      <c r="I34" s="84"/>
      <c r="J34" s="84"/>
      <c r="K34" s="83"/>
      <c r="L34" s="86"/>
      <c r="M34" s="97"/>
      <c r="N34" s="97"/>
      <c r="O34" s="89"/>
      <c r="P34" s="89"/>
      <c r="Q34" s="88"/>
      <c r="R34" s="88"/>
      <c r="S34" s="88"/>
      <c r="T34" s="88"/>
      <c r="V34" s="88"/>
      <c r="W34" s="73"/>
      <c r="X34" s="73"/>
      <c r="Y34" s="73"/>
      <c r="Z34" s="73"/>
      <c r="AA34" s="73"/>
      <c r="AL34" s="9"/>
      <c r="AM34" s="2"/>
      <c r="AN34" s="3"/>
      <c r="AO34" s="3"/>
    </row>
    <row r="35" spans="1:41">
      <c r="A35" s="91" t="s">
        <v>3</v>
      </c>
      <c r="B35" s="231"/>
      <c r="C35" s="231"/>
      <c r="D35" s="232">
        <v>0.91100000000000003</v>
      </c>
      <c r="E35" s="235">
        <v>20</v>
      </c>
      <c r="F35" s="215"/>
      <c r="G35" s="93">
        <f t="shared" ref="G35:G38" si="21">IF(D35&gt;0,W35+X35*E10+Y35*E35+Z35*E35*D35+AA35*D35,0)</f>
        <v>0.91538984190800687</v>
      </c>
      <c r="H35" s="70">
        <f>Modèles!$D$30</f>
        <v>0.78872756141577427</v>
      </c>
      <c r="I35" s="241">
        <f>-0.5*LN(1+(G35/H35-1/Modèles!$D$26)/(1-G35))</f>
        <v>-1.1815185707798164E-2</v>
      </c>
      <c r="J35" s="237">
        <f>1-(1+EXP(2*(I35+IF(Introduction!D$12="45q15",Modèles!$C$24,Modèles!$C$27))))/(1+EXP(2*(I35+Modèles!$C$33)))</f>
        <v>0.23294262265543186</v>
      </c>
      <c r="K35" s="238">
        <f>T35</f>
        <v>1972.6030788935709</v>
      </c>
      <c r="L35" s="86"/>
      <c r="M35" s="80" t="s">
        <v>3</v>
      </c>
      <c r="N35" s="92">
        <v>27.5</v>
      </c>
      <c r="O35" s="84">
        <f>D35</f>
        <v>0.91100000000000003</v>
      </c>
      <c r="P35" s="98">
        <f>(80-E35-E9)/(80-E9)</f>
        <v>0.62960625946491666</v>
      </c>
      <c r="Q35" s="70">
        <f>LN(O35/P35)/3</f>
        <v>0.12314941941174186</v>
      </c>
      <c r="R35" s="67">
        <f t="shared" ref="R35:R40" si="22">E35/2</f>
        <v>10</v>
      </c>
      <c r="S35" s="82">
        <f>(N35-E35)+R35*(1-Q35)</f>
        <v>16.268505805882583</v>
      </c>
      <c r="T35" s="67">
        <f>$T$16-S35</f>
        <v>1972.6030788935709</v>
      </c>
      <c r="V35" s="207">
        <v>30</v>
      </c>
      <c r="W35" s="33">
        <f>-0.9607</f>
        <v>-0.9607</v>
      </c>
      <c r="X35" s="128">
        <v>4.1799999999999997E-3</v>
      </c>
      <c r="Y35" s="128">
        <v>4.4659999999999998E-2</v>
      </c>
      <c r="Z35" s="128">
        <f>-0.04291</f>
        <v>-4.2909999999999997E-2</v>
      </c>
      <c r="AA35" s="33">
        <v>1.8178000000000001</v>
      </c>
      <c r="AL35" s="9"/>
      <c r="AM35" s="2"/>
      <c r="AN35" s="3"/>
      <c r="AO35" s="3"/>
    </row>
    <row r="36" spans="1:41">
      <c r="A36" s="91" t="s">
        <v>4</v>
      </c>
      <c r="B36" s="231"/>
      <c r="C36" s="231"/>
      <c r="D36" s="232">
        <v>0.90610000000000002</v>
      </c>
      <c r="E36" s="235">
        <v>19.399999999999999</v>
      </c>
      <c r="F36" s="215"/>
      <c r="G36" s="93">
        <f t="shared" si="21"/>
        <v>0.90981461329505964</v>
      </c>
      <c r="H36" s="70">
        <f>Modèles!$D$30</f>
        <v>0.78872756141577427</v>
      </c>
      <c r="I36" s="241">
        <f>-0.5*LN(1+(G36/H36-1/Modèles!$D$26)/(1-G36))</f>
        <v>2.8785635646816476E-2</v>
      </c>
      <c r="J36" s="237">
        <f>1-(1+EXP(2*(I36+IF(Introduction!D$12="45q15",Modèles!$C$24,Modèles!$C$27))))/(1+EXP(2*(I36+Modèles!$C$33)))</f>
        <v>0.24546174020025735</v>
      </c>
      <c r="K36" s="238">
        <f t="shared" ref="K36:K39" si="23">T36</f>
        <v>1967.1921291548031</v>
      </c>
      <c r="M36" s="80" t="s">
        <v>4</v>
      </c>
      <c r="N36" s="92">
        <v>32.5</v>
      </c>
      <c r="O36" s="84">
        <f t="shared" ref="O36:O39" si="24">D36</f>
        <v>0.90610000000000002</v>
      </c>
      <c r="P36" s="98">
        <f>(80-E36-E10)/(80-E10)</f>
        <v>0.64071807168096939</v>
      </c>
      <c r="Q36" s="70">
        <f t="shared" ref="Q36:Q38" si="25">LN(O36/P36)/3</f>
        <v>0.11552004694326269</v>
      </c>
      <c r="R36" s="67">
        <f t="shared" si="22"/>
        <v>9.6999999999999993</v>
      </c>
      <c r="S36" s="82">
        <f>(N36-E36)+R36*(1-Q36)</f>
        <v>21.679455544650352</v>
      </c>
      <c r="T36" s="67">
        <f>$T$16-S36</f>
        <v>1967.1921291548031</v>
      </c>
      <c r="V36" s="207">
        <v>35</v>
      </c>
      <c r="W36" s="33">
        <f>-0.9921</f>
        <v>-0.99209999999999998</v>
      </c>
      <c r="X36" s="128">
        <v>4.2900000000000004E-3</v>
      </c>
      <c r="Y36" s="128">
        <v>4.7E-2</v>
      </c>
      <c r="Z36" s="128">
        <f>-0.04501</f>
        <v>-4.5010000000000001E-2</v>
      </c>
      <c r="AA36" s="33">
        <v>1.8428</v>
      </c>
      <c r="AL36" s="9"/>
      <c r="AM36" s="2"/>
      <c r="AN36" s="3"/>
      <c r="AO36" s="3"/>
    </row>
    <row r="37" spans="1:41">
      <c r="A37" s="91" t="s">
        <v>5</v>
      </c>
      <c r="B37" s="231"/>
      <c r="C37" s="231"/>
      <c r="D37" s="232">
        <v>0.89529999999999998</v>
      </c>
      <c r="E37" s="235">
        <v>18.5</v>
      </c>
      <c r="F37" s="215"/>
      <c r="G37" s="93">
        <f>IF(D37&gt;0,W37+X37*E12+Y37*E37+Z37*E37*D37+AA37*D37,0)</f>
        <v>0.8939372274812607</v>
      </c>
      <c r="H37" s="70">
        <f>Modèles!$D$30</f>
        <v>0.78872756141577427</v>
      </c>
      <c r="I37" s="241">
        <f>-0.5*LN(1+(G37/H37-1/Modèles!$D$26)/(1-G37))</f>
        <v>0.13548939863386036</v>
      </c>
      <c r="J37" s="237">
        <f>1-(1+EXP(2*(I37+IF(Introduction!D$12="45q15",Modèles!$C$24,Modèles!$C$27))))/(1+EXP(2*(I37+Modèles!$C$33)))</f>
        <v>0.27959967703044664</v>
      </c>
      <c r="K37" s="238">
        <f t="shared" si="23"/>
        <v>1961.5739887867333</v>
      </c>
      <c r="M37" s="80" t="s">
        <v>5</v>
      </c>
      <c r="N37" s="92">
        <v>37.5</v>
      </c>
      <c r="O37" s="84">
        <f t="shared" si="24"/>
        <v>0.89529999999999998</v>
      </c>
      <c r="P37" s="98">
        <f>(80-E37-E11)/(80-E11)</f>
        <v>0.65738579000504793</v>
      </c>
      <c r="Q37" s="70">
        <f t="shared" si="25"/>
        <v>0.10296260403025061</v>
      </c>
      <c r="R37" s="67">
        <f t="shared" si="22"/>
        <v>9.25</v>
      </c>
      <c r="S37" s="82">
        <f>(N37-E37)+R37*(1-Q37)</f>
        <v>27.297595912720183</v>
      </c>
      <c r="T37" s="67">
        <f>$T$16-S37</f>
        <v>1961.5739887867333</v>
      </c>
      <c r="V37" s="207">
        <v>40</v>
      </c>
      <c r="W37" s="33">
        <f>-1.01289</f>
        <v>-1.0128900000000001</v>
      </c>
      <c r="X37" s="128">
        <v>4.3299999999999996E-3</v>
      </c>
      <c r="Y37" s="128">
        <v>4.8219999999999999E-2</v>
      </c>
      <c r="Z37" s="128">
        <f>-0.04611</f>
        <v>-4.6109999999999998E-2</v>
      </c>
      <c r="AA37" s="33">
        <v>1.8607</v>
      </c>
      <c r="AL37" s="9"/>
      <c r="AM37" s="2"/>
      <c r="AN37" s="3"/>
      <c r="AO37" s="3"/>
    </row>
    <row r="38" spans="1:41">
      <c r="A38" s="91" t="s">
        <v>6</v>
      </c>
      <c r="B38" s="231"/>
      <c r="C38" s="231"/>
      <c r="D38" s="232">
        <v>0.88249999999999995</v>
      </c>
      <c r="E38" s="235">
        <v>18</v>
      </c>
      <c r="F38" s="215"/>
      <c r="G38" s="93">
        <f t="shared" si="21"/>
        <v>0.87740998705281092</v>
      </c>
      <c r="H38" s="70">
        <f>Modèles!$D$30</f>
        <v>0.78872756141577427</v>
      </c>
      <c r="I38" s="241">
        <f>-0.5*LN(1+(G38/H38-1/Modèles!$D$26)/(1-G38))</f>
        <v>0.23603978425108821</v>
      </c>
      <c r="J38" s="237">
        <f>1-(1+EXP(2*(I38+IF(Introduction!D$12="45q15",Modèles!$C$24,Modèles!$C$27))))/(1+EXP(2*(I38+Modèles!$C$33)))</f>
        <v>0.31292687081514403</v>
      </c>
      <c r="K38" s="238">
        <f t="shared" si="23"/>
        <v>1956.213085203914</v>
      </c>
      <c r="M38" s="80" t="s">
        <v>6</v>
      </c>
      <c r="N38" s="92">
        <v>42.5</v>
      </c>
      <c r="O38" s="84">
        <f t="shared" si="24"/>
        <v>0.88249999999999995</v>
      </c>
      <c r="P38" s="98">
        <f>(80-E38-E12)/(80-E12)</f>
        <v>0.66664563351842498</v>
      </c>
      <c r="Q38" s="70">
        <f t="shared" si="25"/>
        <v>9.3500056051181557E-2</v>
      </c>
      <c r="R38" s="67">
        <f t="shared" si="22"/>
        <v>9</v>
      </c>
      <c r="S38" s="82">
        <f>(N38-E38)+R38*(1-Q38)</f>
        <v>32.658499495539367</v>
      </c>
      <c r="T38" s="67">
        <f>$T$16-S38</f>
        <v>1956.213085203914</v>
      </c>
      <c r="V38" s="207">
        <v>45</v>
      </c>
      <c r="W38" s="33">
        <f>-1.0206</f>
        <v>-1.0206</v>
      </c>
      <c r="X38" s="128">
        <v>4.3400000000000001E-3</v>
      </c>
      <c r="Y38" s="128">
        <v>4.861E-2</v>
      </c>
      <c r="Z38" s="128">
        <f>-0.04648</f>
        <v>-4.648E-2</v>
      </c>
      <c r="AA38" s="33">
        <v>1.8680000000000001</v>
      </c>
      <c r="AL38" s="9"/>
      <c r="AM38" s="2"/>
      <c r="AN38" s="3"/>
      <c r="AO38" s="3"/>
    </row>
    <row r="39" spans="1:41">
      <c r="A39" s="91" t="s">
        <v>7</v>
      </c>
      <c r="B39" s="231"/>
      <c r="C39" s="231"/>
      <c r="D39" s="232">
        <v>0.84530000000000005</v>
      </c>
      <c r="E39" s="235">
        <v>17.5</v>
      </c>
      <c r="F39" s="215"/>
      <c r="G39" s="93">
        <f>IF(D39&gt;0,W39+X39*E14+Y39*E39+Z39*E39*D39+AA39*D39,0)</f>
        <v>0.83438316705281101</v>
      </c>
      <c r="H39" s="70">
        <f>Modèles!$D$30</f>
        <v>0.78872756141577427</v>
      </c>
      <c r="I39" s="241">
        <f>-0.5*LN(1+(G39/H39-1/Modèles!$D$26)/(1-G39))</f>
        <v>0.46814897053419491</v>
      </c>
      <c r="J39" s="237">
        <f>1-(1+EXP(2*(I39+IF(Introduction!D$12="45q15",Modèles!$C$24,Modèles!$C$27))))/(1+EXP(2*(I39+Modèles!$C$33)))</f>
        <v>0.39053772830935896</v>
      </c>
      <c r="K39" s="238">
        <f t="shared" si="23"/>
        <v>1950.773863233542</v>
      </c>
      <c r="M39" s="80" t="s">
        <v>7</v>
      </c>
      <c r="N39" s="92">
        <v>47.5</v>
      </c>
      <c r="O39" s="84">
        <f t="shared" si="24"/>
        <v>0.84530000000000005</v>
      </c>
      <c r="P39" s="98">
        <f>(80-E39-E13)/(80-E13)</f>
        <v>0.67590547703180215</v>
      </c>
      <c r="Q39" s="70">
        <f t="shared" ref="Q39" si="26">LN(O39/P39)/3</f>
        <v>7.4546118181546453E-2</v>
      </c>
      <c r="R39" s="67">
        <f t="shared" si="22"/>
        <v>8.75</v>
      </c>
      <c r="S39" s="82">
        <f>(N39-E39)+R39*(1-Q39)</f>
        <v>38.097721465911469</v>
      </c>
      <c r="T39" s="67">
        <f>$T$16-S39</f>
        <v>1950.773863233542</v>
      </c>
      <c r="V39" s="207">
        <v>50</v>
      </c>
      <c r="W39" s="33">
        <f>-1.0206</f>
        <v>-1.0206</v>
      </c>
      <c r="X39" s="128">
        <v>4.3400000000000001E-3</v>
      </c>
      <c r="Y39" s="128">
        <v>4.861E-2</v>
      </c>
      <c r="Z39" s="128">
        <f>-0.04648</f>
        <v>-4.648E-2</v>
      </c>
      <c r="AA39" s="33">
        <v>1.8680000000000001</v>
      </c>
      <c r="AL39" s="9"/>
      <c r="AM39" s="2"/>
      <c r="AN39" s="3"/>
      <c r="AO39" s="3"/>
    </row>
    <row r="40" spans="1:41">
      <c r="A40" s="189" t="s">
        <v>9</v>
      </c>
      <c r="B40" s="78"/>
      <c r="C40" s="78"/>
      <c r="D40" s="78"/>
      <c r="E40" s="236">
        <v>17</v>
      </c>
      <c r="F40" s="216"/>
      <c r="G40" s="94"/>
      <c r="H40" s="95"/>
      <c r="I40" s="95"/>
      <c r="J40" s="78"/>
      <c r="K40" s="78"/>
      <c r="L40" s="21"/>
      <c r="M40" s="99"/>
      <c r="N40" s="99"/>
      <c r="O40" s="99"/>
      <c r="P40" s="100"/>
      <c r="Q40" s="79"/>
      <c r="R40" s="79">
        <f t="shared" si="22"/>
        <v>8.5</v>
      </c>
      <c r="S40" s="79"/>
      <c r="T40" s="78"/>
      <c r="V40" s="79"/>
      <c r="W40" s="78"/>
      <c r="X40" s="78"/>
      <c r="Y40" s="78"/>
      <c r="Z40" s="78"/>
      <c r="AA40" s="78"/>
      <c r="AL40" s="9"/>
      <c r="AM40" s="2"/>
      <c r="AN40" s="3"/>
      <c r="AO40" s="3"/>
    </row>
    <row r="41" spans="1:41">
      <c r="A41" s="71"/>
      <c r="B41" s="71"/>
      <c r="C41" s="71"/>
      <c r="D41" s="71"/>
      <c r="E41" s="71"/>
      <c r="F41" s="71"/>
      <c r="G41" s="71"/>
      <c r="H41" s="23"/>
      <c r="I41" s="23"/>
      <c r="J41" s="71"/>
      <c r="K41" s="87"/>
      <c r="L41" s="71"/>
      <c r="M41" s="71"/>
      <c r="S41" s="1"/>
      <c r="AL41" s="2"/>
      <c r="AM41" s="3"/>
      <c r="AN41" s="3"/>
    </row>
    <row r="42" spans="1:41" ht="15.75">
      <c r="A42" s="269" t="s">
        <v>149</v>
      </c>
      <c r="B42" s="165"/>
      <c r="C42" s="165"/>
      <c r="D42" s="5"/>
      <c r="E42" s="5"/>
      <c r="F42" s="5"/>
      <c r="G42" s="219"/>
      <c r="L42" s="5"/>
      <c r="M42" s="5"/>
      <c r="S42" s="1"/>
      <c r="AL42" s="2"/>
      <c r="AM42" s="3"/>
      <c r="AN42" s="3"/>
    </row>
    <row r="43" spans="1:41" ht="13.9" customHeight="1">
      <c r="B43" s="25"/>
      <c r="C43" s="270" t="s">
        <v>150</v>
      </c>
      <c r="D43" s="276" t="s">
        <v>156</v>
      </c>
      <c r="E43" s="223"/>
      <c r="F43" s="171"/>
      <c r="G43" s="219"/>
      <c r="L43" s="72"/>
      <c r="M43" s="72"/>
      <c r="AL43" s="2"/>
      <c r="AM43" s="3"/>
      <c r="AN43" s="3"/>
    </row>
    <row r="44" spans="1:41" ht="13.9" customHeight="1">
      <c r="A44" s="271" t="s">
        <v>116</v>
      </c>
      <c r="B44" s="271" t="s">
        <v>152</v>
      </c>
      <c r="C44" s="271" t="s">
        <v>153</v>
      </c>
      <c r="D44" s="166"/>
      <c r="E44" s="220"/>
      <c r="F44" s="220"/>
      <c r="G44" s="219"/>
      <c r="L44" s="72"/>
      <c r="M44" s="72"/>
      <c r="AL44" s="2"/>
      <c r="AM44" s="3"/>
      <c r="AN44" s="3"/>
    </row>
    <row r="45" spans="1:41" ht="16.5">
      <c r="A45" s="272" t="s">
        <v>121</v>
      </c>
      <c r="B45" s="272" t="s">
        <v>154</v>
      </c>
      <c r="C45" s="272" t="s">
        <v>155</v>
      </c>
      <c r="D45" s="167"/>
      <c r="E45" s="220"/>
      <c r="F45" s="220"/>
      <c r="G45" s="219"/>
      <c r="L45" s="5"/>
      <c r="M45" s="5"/>
      <c r="AL45" s="2"/>
      <c r="AM45" s="3"/>
      <c r="AN45" s="3"/>
    </row>
    <row r="46" spans="1:41" ht="16.5">
      <c r="A46" s="273"/>
      <c r="B46" s="274" t="s">
        <v>53</v>
      </c>
      <c r="C46" s="275" t="s">
        <v>18</v>
      </c>
      <c r="D46" s="277" t="s">
        <v>54</v>
      </c>
      <c r="E46" s="90"/>
      <c r="F46" s="90"/>
      <c r="G46" s="219"/>
      <c r="L46" s="5"/>
      <c r="M46" s="5"/>
      <c r="N46" s="5"/>
      <c r="O46" s="5"/>
      <c r="AL46" s="2"/>
      <c r="AM46" s="3"/>
      <c r="AN46" s="3"/>
    </row>
    <row r="47" spans="1:41">
      <c r="A47" s="123" t="s">
        <v>1</v>
      </c>
      <c r="B47" s="50">
        <v>9000</v>
      </c>
      <c r="C47" s="31">
        <f>IF(D43="Age à l'interview",17,17.5)</f>
        <v>17</v>
      </c>
      <c r="D47" s="168">
        <f>B47*C47</f>
        <v>153000</v>
      </c>
      <c r="E47" s="221"/>
      <c r="F47" s="221"/>
      <c r="G47" s="219"/>
      <c r="L47" s="5"/>
      <c r="M47" s="5"/>
      <c r="N47" s="5"/>
      <c r="O47" s="5"/>
      <c r="AL47" s="2"/>
      <c r="AM47" s="3"/>
      <c r="AN47" s="3"/>
    </row>
    <row r="48" spans="1:41">
      <c r="A48" s="123" t="s">
        <v>2</v>
      </c>
      <c r="B48" s="50">
        <v>19000</v>
      </c>
      <c r="C48" s="31">
        <f>C47+5</f>
        <v>22</v>
      </c>
      <c r="D48" s="168">
        <f t="shared" ref="D48:D53" si="27">B48*C48</f>
        <v>418000</v>
      </c>
      <c r="E48" s="221"/>
      <c r="F48" s="221"/>
      <c r="G48" s="219"/>
      <c r="L48" s="5"/>
      <c r="M48" s="5"/>
      <c r="N48" s="5"/>
      <c r="O48" s="5"/>
      <c r="AL48" s="2"/>
      <c r="AM48" s="3"/>
      <c r="AN48" s="3"/>
    </row>
    <row r="49" spans="1:40">
      <c r="A49" s="123" t="s">
        <v>3</v>
      </c>
      <c r="B49" s="50">
        <v>15000</v>
      </c>
      <c r="C49" s="31">
        <f t="shared" ref="C49:C53" si="28">C48+5</f>
        <v>27</v>
      </c>
      <c r="D49" s="168">
        <f t="shared" si="27"/>
        <v>405000</v>
      </c>
      <c r="E49" s="221"/>
      <c r="F49" s="221"/>
      <c r="G49" s="219"/>
      <c r="L49" s="5"/>
      <c r="M49" s="5"/>
      <c r="N49" s="5"/>
      <c r="O49" s="5"/>
      <c r="AL49" s="2"/>
      <c r="AM49" s="3"/>
      <c r="AN49" s="3"/>
    </row>
    <row r="50" spans="1:40">
      <c r="A50" s="123" t="s">
        <v>4</v>
      </c>
      <c r="B50" s="50">
        <v>9000</v>
      </c>
      <c r="C50" s="31">
        <f t="shared" si="28"/>
        <v>32</v>
      </c>
      <c r="D50" s="168">
        <f t="shared" si="27"/>
        <v>288000</v>
      </c>
      <c r="E50" s="221"/>
      <c r="F50" s="221"/>
      <c r="G50" s="219"/>
      <c r="L50" s="5"/>
      <c r="M50" s="5"/>
      <c r="N50" s="5"/>
      <c r="O50" s="5"/>
      <c r="AL50" s="2"/>
      <c r="AM50" s="3"/>
      <c r="AN50" s="3"/>
    </row>
    <row r="51" spans="1:40">
      <c r="A51" s="123" t="s">
        <v>5</v>
      </c>
      <c r="B51" s="50">
        <v>4500</v>
      </c>
      <c r="C51" s="31">
        <f t="shared" si="28"/>
        <v>37</v>
      </c>
      <c r="D51" s="168">
        <f t="shared" si="27"/>
        <v>166500</v>
      </c>
      <c r="E51" s="221"/>
      <c r="F51" s="221"/>
      <c r="G51" s="219"/>
      <c r="L51" s="5"/>
      <c r="M51" s="5"/>
      <c r="N51" s="5"/>
      <c r="O51" s="5"/>
      <c r="AL51" s="2"/>
      <c r="AM51" s="3"/>
      <c r="AN51" s="3"/>
    </row>
    <row r="52" spans="1:40">
      <c r="A52" s="123" t="s">
        <v>6</v>
      </c>
      <c r="B52" s="50">
        <v>1500</v>
      </c>
      <c r="C52" s="31">
        <f t="shared" si="28"/>
        <v>42</v>
      </c>
      <c r="D52" s="168">
        <f t="shared" si="27"/>
        <v>63000</v>
      </c>
      <c r="E52" s="221"/>
      <c r="F52" s="221"/>
      <c r="G52" s="219"/>
      <c r="L52" s="5"/>
      <c r="M52" s="5"/>
      <c r="N52" s="5"/>
      <c r="O52" s="5"/>
      <c r="AL52" s="2"/>
      <c r="AM52" s="3"/>
      <c r="AN52" s="3"/>
    </row>
    <row r="53" spans="1:40">
      <c r="A53" s="123" t="s">
        <v>7</v>
      </c>
      <c r="B53" s="50">
        <v>700</v>
      </c>
      <c r="C53" s="31">
        <f t="shared" si="28"/>
        <v>47</v>
      </c>
      <c r="D53" s="168">
        <f t="shared" si="27"/>
        <v>32900</v>
      </c>
      <c r="E53" s="221"/>
      <c r="F53" s="221"/>
      <c r="G53" s="219"/>
      <c r="L53" s="5"/>
      <c r="M53" s="5"/>
      <c r="N53" s="5"/>
      <c r="O53" s="5"/>
      <c r="AL53" s="2"/>
      <c r="AM53" s="3"/>
      <c r="AN53" s="3"/>
    </row>
    <row r="54" spans="1:40">
      <c r="A54" s="129" t="s">
        <v>151</v>
      </c>
      <c r="B54" s="169">
        <f>SUM(B47:B53)</f>
        <v>58700</v>
      </c>
      <c r="C54" s="37"/>
      <c r="D54" s="169">
        <f>SUM(D47:D53)</f>
        <v>1526400</v>
      </c>
      <c r="E54" s="222"/>
      <c r="F54" s="222"/>
      <c r="G54" s="219"/>
      <c r="L54" s="5"/>
      <c r="M54" s="5"/>
      <c r="N54" s="5"/>
      <c r="O54" s="5"/>
    </row>
    <row r="55" spans="1:40" ht="15.75" thickBot="1">
      <c r="A55" s="170"/>
      <c r="B55" s="171"/>
      <c r="C55" s="171"/>
      <c r="E55" s="219"/>
      <c r="F55" s="219"/>
      <c r="G55" s="219"/>
      <c r="L55" s="5"/>
      <c r="M55" s="5"/>
      <c r="N55" s="5"/>
      <c r="O55" s="5"/>
    </row>
    <row r="56" spans="1:40" ht="16.5" thickBot="1">
      <c r="A56" s="165"/>
      <c r="B56" s="242" t="s">
        <v>83</v>
      </c>
      <c r="C56" s="243">
        <f>D54/B54</f>
        <v>26.003407155025553</v>
      </c>
      <c r="L56" s="5"/>
      <c r="M56" s="5"/>
      <c r="N56" s="5"/>
      <c r="O56" s="5"/>
    </row>
    <row r="57" spans="1:40">
      <c r="L57" s="5"/>
      <c r="M57" s="5"/>
      <c r="N57" s="5"/>
      <c r="O57" s="5"/>
    </row>
    <row r="58" spans="1:40">
      <c r="L58" s="5"/>
      <c r="M58" s="5"/>
      <c r="N58" s="5"/>
      <c r="O58" s="5"/>
    </row>
    <row r="59" spans="1:40">
      <c r="L59" s="5"/>
      <c r="M59" s="5"/>
      <c r="N59" s="5"/>
      <c r="O59" s="5"/>
    </row>
    <row r="60" spans="1:40">
      <c r="L60" s="5"/>
      <c r="M60" s="5"/>
      <c r="N60" s="5"/>
      <c r="O60" s="5"/>
    </row>
    <row r="61" spans="1:40">
      <c r="L61" s="5"/>
      <c r="M61" s="5"/>
      <c r="N61" s="5"/>
      <c r="O61" s="5"/>
    </row>
    <row r="62" spans="1:40">
      <c r="G62" s="17"/>
      <c r="H62" s="19"/>
      <c r="I62" s="18"/>
      <c r="J62" s="18"/>
      <c r="K62" s="18"/>
      <c r="L62" s="5"/>
      <c r="M62" s="5"/>
      <c r="N62" s="5"/>
      <c r="O62" s="5"/>
    </row>
    <row r="63" spans="1:40">
      <c r="G63" s="17"/>
      <c r="H63" s="19"/>
      <c r="I63" s="18"/>
      <c r="J63" s="18"/>
      <c r="K63" s="18"/>
      <c r="L63" s="5"/>
      <c r="M63" s="5"/>
      <c r="N63" s="5"/>
      <c r="O63" s="5"/>
    </row>
    <row r="64" spans="1:40">
      <c r="G64" s="17"/>
      <c r="H64" s="19"/>
      <c r="I64" s="18"/>
      <c r="J64" s="18"/>
      <c r="K64" s="18"/>
      <c r="L64" s="5"/>
      <c r="M64" s="5"/>
      <c r="N64" s="5"/>
      <c r="O64" s="5"/>
    </row>
    <row r="65" spans="7:15">
      <c r="G65" s="17"/>
      <c r="H65" s="17"/>
      <c r="I65" s="17"/>
      <c r="J65" s="18"/>
      <c r="K65" s="18"/>
      <c r="L65" s="5"/>
      <c r="M65" s="5"/>
      <c r="N65" s="5"/>
      <c r="O65" s="5"/>
    </row>
    <row r="66" spans="7:15">
      <c r="G66" s="20"/>
      <c r="H66" s="17"/>
      <c r="I66" s="17"/>
      <c r="J66" s="18"/>
      <c r="K66" s="18"/>
      <c r="L66" s="5"/>
      <c r="M66" s="5"/>
      <c r="N66" s="5"/>
      <c r="O66" s="5"/>
    </row>
  </sheetData>
  <sheetProtection sheet="1" objects="1" scenarios="1"/>
  <mergeCells count="3">
    <mergeCell ref="E2:E4"/>
    <mergeCell ref="E17:E19"/>
    <mergeCell ref="E31:E33"/>
  </mergeCells>
  <dataValidations disablePrompts="1" count="5">
    <dataValidation type="decimal" operator="greaterThanOrEqual" allowBlank="1" showInputMessage="1" showErrorMessage="1" sqref="B35:D39 E26:F26 B21:D26 B6:D14">
      <formula1>0</formula1>
    </dataValidation>
    <dataValidation type="list" allowBlank="1" showInputMessage="1" showErrorMessage="1" sqref="E43:F43">
      <formula1>"age at interview,age at birth"</formula1>
    </dataValidation>
    <dataValidation type="decimal" allowBlank="1" showInputMessage="1" showErrorMessage="1" sqref="E35:E40">
      <formula1>15</formula1>
      <formula2>45</formula2>
    </dataValidation>
    <dataValidation type="decimal" operator="greaterThanOrEqual" allowBlank="1" showInputMessage="1" showErrorMessage="1" error="Input number &gt;= 0" sqref="B47:B53">
      <formula1>0</formula1>
    </dataValidation>
    <dataValidation type="list" allowBlank="1" showInputMessage="1" showErrorMessage="1" sqref="D43">
      <formula1>"Age à l'interview,Age à l'accouchement"</formula1>
    </dataValidation>
  </dataValidations>
  <pageMargins left="0.59055118110236227" right="0.59055118110236227" top="0.98425196850393704" bottom="0.98425196850393704" header="0.51181102362204722" footer="0.51181102362204722"/>
  <pageSetup paperSize="9" scale="90" orientation="portrait" r:id="rId1"/>
  <headerFooter alignWithMargins="0">
    <oddHeader>&amp;L&amp;"+,Bold"&amp;13Tools for Demographic Estimation&amp;R&amp;"+,Bold"&amp;13Orphanhood before &amp;&amp; since 1st marriage</oddHeader>
    <oddFooter>&amp;L&amp;"+,Regular"&amp;12&amp;F&amp;R&amp;"+,Regular"&amp;12&amp;D  &amp;T</oddFooter>
  </headerFooter>
  <rowBreaks count="1" manualBreakCount="1">
    <brk id="40" max="16383" man="1"/>
  </rowBreaks>
  <colBreaks count="3" manualBreakCount="3">
    <brk id="11" max="1048575" man="1"/>
    <brk id="20" max="1048575" man="1"/>
    <brk id="37" max="1048575" man="1"/>
  </colBreaks>
  <ignoredErrors>
    <ignoredError sqref="Q6 S6:T6 K6" evalError="1"/>
  </ignoredError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theme="4" tint="0.59999389629810485"/>
  </sheetPr>
  <dimension ref="A1:BH114"/>
  <sheetViews>
    <sheetView workbookViewId="0">
      <selection activeCell="L1" sqref="L1"/>
    </sheetView>
  </sheetViews>
  <sheetFormatPr defaultColWidth="9" defaultRowHeight="12"/>
  <cols>
    <col min="1" max="1" width="6.125" style="102" customWidth="1"/>
    <col min="2" max="2" width="10.375" style="102" customWidth="1"/>
    <col min="3" max="4" width="9.125" style="102" customWidth="1"/>
    <col min="5" max="5" width="8.125" style="102" customWidth="1"/>
    <col min="6" max="6" width="4.25" style="102" customWidth="1"/>
    <col min="7" max="7" width="8.625" style="102" customWidth="1"/>
    <col min="8" max="8" width="18" style="102" customWidth="1"/>
    <col min="9" max="10" width="8.625" style="102" customWidth="1"/>
    <col min="11" max="11" width="10.375" style="102" customWidth="1"/>
    <col min="12" max="12" width="3.125" style="102" customWidth="1"/>
    <col min="13" max="13" width="7.375" style="102" customWidth="1"/>
    <col min="14" max="14" width="7.625" style="102" customWidth="1"/>
    <col min="15" max="16" width="8.75" style="102" customWidth="1"/>
    <col min="17" max="17" width="11.25" style="102" customWidth="1"/>
    <col min="18" max="18" width="9.25" style="102" customWidth="1"/>
    <col min="19" max="20" width="7.625" style="102" customWidth="1"/>
    <col min="21" max="21" width="2.625" style="102" customWidth="1"/>
    <col min="22" max="22" width="9" style="102"/>
    <col min="23" max="23" width="11" style="102" customWidth="1"/>
    <col min="24" max="16384" width="9" style="102"/>
  </cols>
  <sheetData>
    <row r="1" spans="1:60" ht="15" customHeight="1">
      <c r="A1" s="208" t="s">
        <v>111</v>
      </c>
      <c r="B1" s="23"/>
      <c r="C1" s="23"/>
      <c r="D1" s="23"/>
      <c r="E1" s="23"/>
      <c r="F1" s="23"/>
      <c r="G1" s="208" t="str">
        <f>Introduction!D10</f>
        <v>Egypte</v>
      </c>
      <c r="H1" s="279" t="s">
        <v>159</v>
      </c>
      <c r="J1" s="24" t="s">
        <v>125</v>
      </c>
      <c r="K1" s="227">
        <f>Introduction!D13</f>
        <v>32462</v>
      </c>
      <c r="L1" s="51"/>
      <c r="M1" s="22" t="s">
        <v>124</v>
      </c>
      <c r="N1" s="23"/>
      <c r="O1" s="23"/>
      <c r="P1" s="23"/>
      <c r="Q1" s="23"/>
      <c r="R1" s="23"/>
      <c r="S1" s="96" t="s">
        <v>125</v>
      </c>
      <c r="T1" s="69">
        <f>Date_of_survey</f>
        <v>1988.8715846994535</v>
      </c>
      <c r="V1" s="54" t="s">
        <v>140</v>
      </c>
      <c r="W1" s="23"/>
      <c r="X1" s="23"/>
      <c r="Z1" s="109"/>
      <c r="AA1" s="181"/>
      <c r="AB1" s="23"/>
      <c r="AC1" s="23"/>
      <c r="AD1" s="23"/>
      <c r="AE1" s="23"/>
      <c r="AF1" s="23"/>
      <c r="AG1" s="23"/>
      <c r="AH1" s="23"/>
      <c r="AI1" s="23"/>
      <c r="AJ1" s="23"/>
      <c r="AK1" s="23"/>
      <c r="AL1" s="23"/>
      <c r="AM1" s="23"/>
      <c r="AN1" s="23"/>
      <c r="AO1" s="23"/>
      <c r="AP1" s="23"/>
      <c r="AQ1" s="23"/>
      <c r="AR1" s="23"/>
      <c r="AS1" s="23"/>
      <c r="AT1" s="23"/>
      <c r="AU1" s="23"/>
      <c r="AV1" s="23"/>
      <c r="AW1" s="23"/>
      <c r="AX1" s="23"/>
      <c r="AY1" s="23"/>
      <c r="AZ1" s="23"/>
      <c r="BA1" s="23"/>
      <c r="BB1" s="23"/>
      <c r="BC1" s="23"/>
      <c r="BD1" s="23"/>
      <c r="BE1" s="23"/>
      <c r="BF1" s="23"/>
      <c r="BG1" s="23"/>
      <c r="BH1" s="23"/>
    </row>
    <row r="2" spans="1:60" ht="15.75" customHeight="1">
      <c r="A2" s="262"/>
      <c r="B2" s="263"/>
      <c r="C2" s="263"/>
      <c r="D2" s="263"/>
      <c r="E2" s="286" t="s">
        <v>114</v>
      </c>
      <c r="F2" s="26"/>
      <c r="G2" s="263"/>
      <c r="H2" s="263"/>
      <c r="I2" s="263"/>
      <c r="J2" s="26" t="s">
        <v>115</v>
      </c>
      <c r="K2" s="263"/>
      <c r="L2" s="53"/>
      <c r="M2" s="26" t="s">
        <v>116</v>
      </c>
      <c r="N2" s="26" t="s">
        <v>126</v>
      </c>
      <c r="O2" s="26" t="s">
        <v>16</v>
      </c>
      <c r="P2" s="26" t="s">
        <v>17</v>
      </c>
      <c r="Q2" s="26" t="s">
        <v>127</v>
      </c>
      <c r="R2" s="26" t="s">
        <v>128</v>
      </c>
      <c r="S2" s="26" t="s">
        <v>129</v>
      </c>
      <c r="T2" s="166"/>
      <c r="V2" s="27"/>
      <c r="W2" s="27"/>
      <c r="X2" s="27"/>
      <c r="Y2" s="27"/>
      <c r="Z2" s="27"/>
      <c r="AA2" s="181"/>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row>
    <row r="3" spans="1:60" ht="15.75" customHeight="1">
      <c r="A3" s="28" t="s">
        <v>116</v>
      </c>
      <c r="B3" s="28" t="s">
        <v>29</v>
      </c>
      <c r="C3" s="28" t="s">
        <v>138</v>
      </c>
      <c r="D3" s="28" t="s">
        <v>16</v>
      </c>
      <c r="E3" s="287"/>
      <c r="F3" s="28" t="s">
        <v>0</v>
      </c>
      <c r="G3" s="198" t="s">
        <v>35</v>
      </c>
      <c r="H3" s="280" t="s">
        <v>17</v>
      </c>
      <c r="I3" s="28" t="s">
        <v>119</v>
      </c>
      <c r="J3" s="28" t="s">
        <v>120</v>
      </c>
      <c r="K3" s="199"/>
      <c r="L3" s="53"/>
      <c r="M3" s="28" t="s">
        <v>121</v>
      </c>
      <c r="N3" s="28" t="s">
        <v>130</v>
      </c>
      <c r="O3" s="28" t="s">
        <v>131</v>
      </c>
      <c r="P3" s="28" t="s">
        <v>132</v>
      </c>
      <c r="Q3" s="28" t="s">
        <v>133</v>
      </c>
      <c r="R3" s="28" t="s">
        <v>134</v>
      </c>
      <c r="S3" s="28" t="s">
        <v>135</v>
      </c>
      <c r="T3" s="28" t="s">
        <v>12</v>
      </c>
      <c r="V3" s="192"/>
      <c r="W3" s="192"/>
      <c r="X3" s="192"/>
      <c r="Y3" s="192"/>
      <c r="Z3" s="192"/>
      <c r="AA3" s="181"/>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row>
    <row r="4" spans="1:60" ht="15.75" customHeight="1">
      <c r="A4" s="30" t="s">
        <v>121</v>
      </c>
      <c r="B4" s="30" t="s">
        <v>122</v>
      </c>
      <c r="C4" s="30" t="s">
        <v>123</v>
      </c>
      <c r="D4" s="30" t="s">
        <v>123</v>
      </c>
      <c r="E4" s="288"/>
      <c r="F4" s="29" t="s">
        <v>8</v>
      </c>
      <c r="G4" s="56" t="s">
        <v>36</v>
      </c>
      <c r="H4" s="281" t="s">
        <v>37</v>
      </c>
      <c r="I4" s="61" t="s">
        <v>31</v>
      </c>
      <c r="J4" s="264"/>
      <c r="K4" s="63" t="s">
        <v>12</v>
      </c>
      <c r="L4" s="57"/>
      <c r="M4" s="265"/>
      <c r="N4" s="29" t="s">
        <v>18</v>
      </c>
      <c r="O4" s="30" t="s">
        <v>19</v>
      </c>
      <c r="P4" s="29" t="s">
        <v>20</v>
      </c>
      <c r="Q4" s="30" t="s">
        <v>21</v>
      </c>
      <c r="R4" s="30" t="s">
        <v>139</v>
      </c>
      <c r="S4" s="29" t="s">
        <v>23</v>
      </c>
      <c r="T4" s="265"/>
      <c r="V4" s="29" t="s">
        <v>8</v>
      </c>
      <c r="W4" s="30" t="s">
        <v>24</v>
      </c>
      <c r="X4" s="30" t="s">
        <v>25</v>
      </c>
      <c r="Y4" s="30" t="s">
        <v>26</v>
      </c>
      <c r="Z4" s="30" t="s">
        <v>27</v>
      </c>
      <c r="AA4" s="181"/>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row>
    <row r="5" spans="1:60" ht="15" customHeight="1">
      <c r="A5" s="28"/>
      <c r="B5" s="28"/>
      <c r="C5" s="28"/>
      <c r="D5" s="28"/>
      <c r="E5" s="28"/>
      <c r="F5" s="28"/>
      <c r="G5" s="62"/>
      <c r="H5" s="33"/>
      <c r="I5" s="118"/>
      <c r="J5" s="62"/>
      <c r="K5" s="63"/>
      <c r="L5" s="57"/>
      <c r="M5" s="119"/>
      <c r="N5" s="58"/>
      <c r="O5" s="28"/>
      <c r="P5" s="58"/>
      <c r="Q5" s="28"/>
      <c r="R5" s="28"/>
      <c r="S5" s="58"/>
      <c r="T5" s="119"/>
      <c r="V5" s="58"/>
      <c r="W5" s="28"/>
      <c r="X5" s="28"/>
      <c r="Y5" s="28"/>
      <c r="Z5" s="28"/>
      <c r="AA5" s="181"/>
      <c r="AB5" s="23"/>
      <c r="AC5" s="23"/>
      <c r="AD5" s="23"/>
      <c r="AE5" s="23"/>
      <c r="AF5" s="23"/>
      <c r="AG5" s="23"/>
      <c r="AH5" s="23"/>
      <c r="AI5" s="23"/>
      <c r="AJ5" s="23"/>
      <c r="AK5" s="23"/>
      <c r="AL5" s="23"/>
      <c r="AM5" s="23"/>
      <c r="AN5" s="23"/>
      <c r="AO5" s="23"/>
      <c r="AP5" s="23"/>
      <c r="AQ5" s="23"/>
      <c r="AR5" s="23"/>
      <c r="AS5" s="23"/>
      <c r="AT5" s="23"/>
      <c r="AU5" s="23"/>
      <c r="AV5" s="23"/>
      <c r="AW5" s="23"/>
      <c r="AX5" s="23"/>
      <c r="AY5" s="23"/>
      <c r="AZ5" s="23"/>
      <c r="BA5" s="23"/>
      <c r="BB5" s="23"/>
      <c r="BC5" s="23"/>
      <c r="BD5" s="23"/>
      <c r="BE5" s="23"/>
      <c r="BF5" s="23"/>
      <c r="BG5" s="23"/>
      <c r="BH5" s="23"/>
    </row>
    <row r="6" spans="1:60" ht="15" customHeight="1">
      <c r="A6" s="31" t="s">
        <v>38</v>
      </c>
      <c r="B6" s="231"/>
      <c r="C6" s="231"/>
      <c r="D6" s="232"/>
      <c r="E6" s="200">
        <f ca="1">$C$42</f>
        <v>34.302718569007453</v>
      </c>
      <c r="F6" s="213">
        <v>10</v>
      </c>
      <c r="G6" s="33">
        <f t="shared" ref="G6:G12" ca="1" si="0">W6+X6*E6+Y6*D6+Z6*D7</f>
        <v>-0.54407891257239693</v>
      </c>
      <c r="H6" s="33">
        <f>Modèles!D31</f>
        <v>0.75558816659335271</v>
      </c>
      <c r="I6" s="250" t="e">
        <f ca="1">-0.5*LN(1+(G6/H6-1/Modèles!$D$28)/(1-G6))</f>
        <v>#NUM!</v>
      </c>
      <c r="J6" s="244" t="e">
        <f ca="1">1-(1+EXP(2*(I6+IF(Introduction!D$12="45q15",Modèles!$C$24,Modèles!$C$27))))/(1+EXP(2*(I6+Modèles!$C$33)))</f>
        <v>#NUM!</v>
      </c>
      <c r="K6" s="251" t="e">
        <f ca="1">T6</f>
        <v>#NUM!</v>
      </c>
      <c r="L6" s="66"/>
      <c r="M6" s="31" t="s">
        <v>38</v>
      </c>
      <c r="N6" s="32">
        <v>10</v>
      </c>
      <c r="O6" s="33">
        <f t="shared" ref="O6:O12" si="1">SQRT(D6*D7)</f>
        <v>0</v>
      </c>
      <c r="P6" s="33">
        <f t="shared" ref="P6:P12" ca="1" si="2">(1-(E6+N6)/80)/(1-(E6-0.75)/80)</f>
        <v>0.76855480732556014</v>
      </c>
      <c r="Q6" s="33" t="e">
        <f t="shared" ref="Q6:Q12" ca="1" si="3">LN(O6/P6)/3</f>
        <v>#NUM!</v>
      </c>
      <c r="R6" s="82">
        <f>(N6+0.75)/2</f>
        <v>5.375</v>
      </c>
      <c r="S6" s="34" t="e">
        <f ca="1">R6*(1-Q6)</f>
        <v>#NUM!</v>
      </c>
      <c r="T6" s="35" t="e">
        <f ca="1">$T$1-S6</f>
        <v>#NUM!</v>
      </c>
      <c r="V6" s="283" t="s">
        <v>162</v>
      </c>
      <c r="W6" s="164">
        <v>-0.55779999999999996</v>
      </c>
      <c r="X6" s="204">
        <v>4.0000000000000002E-4</v>
      </c>
      <c r="Y6" s="164">
        <v>1.47078</v>
      </c>
      <c r="Z6" s="164">
        <v>6.9779999999999995E-2</v>
      </c>
      <c r="AA6" s="181"/>
      <c r="AB6" s="23"/>
      <c r="AC6" s="22"/>
      <c r="AD6" s="23"/>
      <c r="AE6" s="23"/>
      <c r="AF6" s="23"/>
      <c r="AG6" s="23"/>
      <c r="AH6" s="23"/>
      <c r="AI6" s="23"/>
      <c r="AJ6" s="23"/>
      <c r="AK6" s="23"/>
      <c r="AL6" s="23"/>
      <c r="AM6" s="23"/>
      <c r="AN6" s="23"/>
      <c r="AO6" s="23"/>
      <c r="AP6" s="23"/>
      <c r="AQ6" s="23"/>
      <c r="AR6" s="23"/>
      <c r="AS6" s="23"/>
      <c r="AT6" s="23"/>
      <c r="AU6" s="23"/>
      <c r="AV6" s="23"/>
      <c r="AW6" s="23"/>
      <c r="AX6" s="23"/>
      <c r="AY6" s="23"/>
      <c r="AZ6" s="23"/>
      <c r="BA6" s="23"/>
      <c r="BB6" s="23"/>
      <c r="BC6" s="23"/>
      <c r="BD6" s="23"/>
      <c r="BE6" s="23"/>
      <c r="BF6" s="23"/>
      <c r="BG6" s="23"/>
      <c r="BH6" s="23"/>
    </row>
    <row r="7" spans="1:60" ht="15" customHeight="1">
      <c r="A7" s="31" t="s">
        <v>14</v>
      </c>
      <c r="B7" s="245"/>
      <c r="C7" s="245"/>
      <c r="D7" s="232"/>
      <c r="E7" s="200">
        <f t="shared" ref="E7:E13" ca="1" si="4">$C$42</f>
        <v>34.302718569007453</v>
      </c>
      <c r="F7" s="213">
        <v>15</v>
      </c>
      <c r="G7" s="33">
        <f t="shared" ca="1" si="0"/>
        <v>-0.49012538104251702</v>
      </c>
      <c r="H7" s="33">
        <f>Modèles!D31</f>
        <v>0.75558816659335271</v>
      </c>
      <c r="I7" s="250" t="e">
        <f ca="1">-0.5*LN(1+(G7/H7-1/Modèles!$D$28)/(1-G7))</f>
        <v>#NUM!</v>
      </c>
      <c r="J7" s="244" t="e">
        <f ca="1">1-(1+EXP(2*(I7+IF(Introduction!D$12="45q15",Modèles!$C$24,Modèles!$C$27))))/(1+EXP(2*(I7+Modèles!$C$33)))</f>
        <v>#NUM!</v>
      </c>
      <c r="K7" s="251" t="e">
        <f ca="1">T7</f>
        <v>#NUM!</v>
      </c>
      <c r="L7" s="66"/>
      <c r="M7" s="31" t="s">
        <v>14</v>
      </c>
      <c r="N7" s="32">
        <f>N6+5</f>
        <v>15</v>
      </c>
      <c r="O7" s="33">
        <f t="shared" si="1"/>
        <v>0</v>
      </c>
      <c r="P7" s="33">
        <f t="shared" ca="1" si="2"/>
        <v>0.66090588050023935</v>
      </c>
      <c r="Q7" s="33" t="e">
        <f t="shared" ca="1" si="3"/>
        <v>#NUM!</v>
      </c>
      <c r="R7" s="82">
        <f t="shared" ref="R7:R12" si="5">(N7+0.75)/2</f>
        <v>7.875</v>
      </c>
      <c r="S7" s="34" t="e">
        <f t="shared" ref="S7:S12" ca="1" si="6">R7*(1-Q7)</f>
        <v>#NUM!</v>
      </c>
      <c r="T7" s="35" t="e">
        <f t="shared" ref="T7:T12" ca="1" si="7">$T$1-S7</f>
        <v>#NUM!</v>
      </c>
      <c r="V7" s="31">
        <f>V6+5</f>
        <v>15</v>
      </c>
      <c r="W7" s="110">
        <v>-0.40129999999999999</v>
      </c>
      <c r="X7" s="205">
        <v>5.7600000000000004E-3</v>
      </c>
      <c r="Y7" s="110">
        <v>1.5602</v>
      </c>
      <c r="Z7" s="110">
        <v>-0.35220000000000001</v>
      </c>
      <c r="AA7" s="181"/>
      <c r="AB7" s="23"/>
      <c r="AD7" s="23"/>
      <c r="AE7" s="23"/>
      <c r="AF7" s="23"/>
      <c r="AG7" s="23"/>
      <c r="AH7" s="23"/>
      <c r="AI7" s="23"/>
      <c r="AJ7" s="23"/>
      <c r="AK7" s="23"/>
      <c r="AL7" s="23"/>
      <c r="AM7" s="23"/>
      <c r="AN7" s="23"/>
      <c r="AO7" s="23"/>
      <c r="AP7" s="23"/>
      <c r="AQ7" s="23"/>
      <c r="AR7" s="23"/>
      <c r="AS7" s="23"/>
      <c r="AT7" s="23"/>
      <c r="AU7" s="23"/>
      <c r="AV7" s="23"/>
      <c r="AW7" s="23"/>
      <c r="AX7" s="23"/>
      <c r="AY7" s="23"/>
      <c r="AZ7" s="23"/>
      <c r="BA7" s="23"/>
      <c r="BB7" s="23"/>
      <c r="BC7" s="23"/>
      <c r="BD7" s="23"/>
      <c r="BE7" s="23"/>
      <c r="BF7" s="23"/>
      <c r="BG7" s="23"/>
      <c r="BH7" s="23"/>
    </row>
    <row r="8" spans="1:60" ht="15" customHeight="1">
      <c r="A8" s="31" t="s">
        <v>1</v>
      </c>
      <c r="B8" s="231"/>
      <c r="C8" s="231"/>
      <c r="D8" s="232">
        <v>0.81320000000000003</v>
      </c>
      <c r="E8" s="200">
        <f t="shared" ca="1" si="4"/>
        <v>34.302718569007453</v>
      </c>
      <c r="F8" s="213">
        <v>20</v>
      </c>
      <c r="G8" s="33">
        <f t="shared" ca="1" si="0"/>
        <v>0.81093014844646683</v>
      </c>
      <c r="H8" s="33">
        <f>Modèles!D32</f>
        <v>0.71027415735971011</v>
      </c>
      <c r="I8" s="250">
        <f ca="1">-0.5*LN(1+(G8/H8-1/Modèles!$D$28)/(1-G8))</f>
        <v>0.18334094204133086</v>
      </c>
      <c r="J8" s="244">
        <f ca="1">1-(1+EXP(2*(I8+IF(Introduction!D$12="45q15",Modèles!$C$24,Modèles!$C$27))))/(1+EXP(2*(I8+Modèles!$C$33)))</f>
        <v>0.29535906622344765</v>
      </c>
      <c r="K8" s="251">
        <f ca="1">T8</f>
        <v>1979.637200155282</v>
      </c>
      <c r="L8" s="66"/>
      <c r="M8" s="31" t="s">
        <v>1</v>
      </c>
      <c r="N8" s="32">
        <f t="shared" ref="N8:N12" si="8">N7+5</f>
        <v>20</v>
      </c>
      <c r="O8" s="33">
        <f t="shared" si="1"/>
        <v>0.76942160094450174</v>
      </c>
      <c r="P8" s="33">
        <f t="shared" ca="1" si="2"/>
        <v>0.55325695367491845</v>
      </c>
      <c r="Q8" s="33">
        <f t="shared" ca="1" si="3"/>
        <v>0.10993883911599855</v>
      </c>
      <c r="R8" s="82">
        <f t="shared" si="5"/>
        <v>10.375</v>
      </c>
      <c r="S8" s="34">
        <f t="shared" ca="1" si="6"/>
        <v>9.2343845441715153</v>
      </c>
      <c r="T8" s="35">
        <f ca="1">$T$1-S8</f>
        <v>1979.637200155282</v>
      </c>
      <c r="V8" s="31">
        <f t="shared" ref="V8:V13" si="9">V7+5</f>
        <v>20</v>
      </c>
      <c r="W8" s="110">
        <v>-0.33289999999999997</v>
      </c>
      <c r="X8" s="205">
        <v>1.031E-2</v>
      </c>
      <c r="Y8" s="110">
        <v>0.66559999999999997</v>
      </c>
      <c r="Z8" s="110">
        <v>0.34189999999999998</v>
      </c>
      <c r="AA8" s="181"/>
      <c r="AB8" s="23"/>
      <c r="AC8" s="23"/>
      <c r="AD8" s="23"/>
      <c r="AE8" s="23"/>
      <c r="AF8" s="23"/>
      <c r="AG8" s="23"/>
      <c r="AH8" s="23"/>
      <c r="AI8" s="23"/>
      <c r="AJ8" s="23"/>
      <c r="AK8" s="23"/>
      <c r="AL8" s="23"/>
      <c r="AM8" s="23"/>
      <c r="AN8" s="23"/>
      <c r="AO8" s="23"/>
      <c r="AP8" s="23"/>
      <c r="AQ8" s="23"/>
      <c r="AR8" s="23"/>
      <c r="AS8" s="23"/>
      <c r="AT8" s="23"/>
      <c r="AU8" s="23"/>
      <c r="AV8" s="23"/>
      <c r="AW8" s="23"/>
      <c r="AX8" s="23"/>
      <c r="AY8" s="23"/>
      <c r="AZ8" s="23"/>
      <c r="BA8" s="23"/>
      <c r="BB8" s="23"/>
      <c r="BC8" s="23"/>
      <c r="BD8" s="23"/>
      <c r="BE8" s="23"/>
      <c r="BF8" s="23"/>
      <c r="BG8" s="23"/>
      <c r="BH8" s="23"/>
    </row>
    <row r="9" spans="1:60" ht="15" customHeight="1">
      <c r="A9" s="31" t="s">
        <v>2</v>
      </c>
      <c r="B9" s="245"/>
      <c r="C9" s="245"/>
      <c r="D9" s="232">
        <v>0.72799999999999998</v>
      </c>
      <c r="E9" s="200">
        <f t="shared" ca="1" si="4"/>
        <v>34.302718569007453</v>
      </c>
      <c r="F9" s="213">
        <v>25</v>
      </c>
      <c r="G9" s="33">
        <f t="shared" ca="1" si="0"/>
        <v>0.71078930249082617</v>
      </c>
      <c r="H9" s="33">
        <f>Modèles!D33</f>
        <v>0.64857401363075629</v>
      </c>
      <c r="I9" s="250">
        <f ca="1">-0.5*LN(1+(G9/H9-1/Modèles!$D$28)/(1-G9))</f>
        <v>0.22236324506894647</v>
      </c>
      <c r="J9" s="244">
        <f ca="1">1-(1+EXP(2*(I9+IF(Introduction!D$12="45q15",Modèles!$C$24,Modèles!$C$27))))/(1+EXP(2*(I9+Modèles!$C$33)))</f>
        <v>0.30835121490220208</v>
      </c>
      <c r="K9" s="251">
        <f ca="1">T9</f>
        <v>1977.7662174608372</v>
      </c>
      <c r="L9" s="66"/>
      <c r="M9" s="31" t="s">
        <v>2</v>
      </c>
      <c r="N9" s="32">
        <f t="shared" si="8"/>
        <v>25</v>
      </c>
      <c r="O9" s="33">
        <f t="shared" si="1"/>
        <v>0.67302421947504976</v>
      </c>
      <c r="P9" s="33">
        <f t="shared" ca="1" si="2"/>
        <v>0.44560802684959766</v>
      </c>
      <c r="Q9" s="33">
        <f t="shared" ca="1" si="3"/>
        <v>0.13744720476766104</v>
      </c>
      <c r="R9" s="82">
        <f t="shared" si="5"/>
        <v>12.875</v>
      </c>
      <c r="S9" s="34">
        <f t="shared" ca="1" si="6"/>
        <v>11.105367238616363</v>
      </c>
      <c r="T9" s="35">
        <f t="shared" ca="1" si="7"/>
        <v>1977.7662174608372</v>
      </c>
      <c r="V9" s="31">
        <f t="shared" si="9"/>
        <v>25</v>
      </c>
      <c r="W9" s="110">
        <v>-0.47260000000000002</v>
      </c>
      <c r="X9" s="205">
        <v>1.559E-2</v>
      </c>
      <c r="Y9" s="110">
        <v>0.21609999999999999</v>
      </c>
      <c r="Z9" s="110">
        <v>0.78959999999999997</v>
      </c>
      <c r="AB9" s="23"/>
      <c r="AD9" s="23"/>
      <c r="AE9" s="23"/>
      <c r="AF9" s="23"/>
      <c r="AG9" s="23"/>
      <c r="AH9" s="23"/>
      <c r="AI9" s="23"/>
      <c r="AJ9" s="23"/>
      <c r="AK9" s="23"/>
      <c r="AL9" s="23"/>
      <c r="AM9" s="23"/>
      <c r="AN9" s="23"/>
      <c r="AO9" s="23"/>
      <c r="AP9" s="23"/>
      <c r="AQ9" s="23"/>
      <c r="AR9" s="23"/>
      <c r="AS9" s="23"/>
      <c r="AT9" s="23"/>
      <c r="AU9" s="23"/>
      <c r="AV9" s="23"/>
      <c r="AW9" s="23"/>
      <c r="AX9" s="23"/>
      <c r="AY9" s="23"/>
      <c r="AZ9" s="23"/>
      <c r="BA9" s="23"/>
      <c r="BB9" s="23"/>
      <c r="BC9" s="23"/>
      <c r="BD9" s="23"/>
      <c r="BE9" s="23"/>
      <c r="BF9" s="23"/>
      <c r="BG9" s="23"/>
      <c r="BH9" s="23"/>
    </row>
    <row r="10" spans="1:60" ht="15" customHeight="1">
      <c r="A10" s="31" t="s">
        <v>3</v>
      </c>
      <c r="B10" s="231"/>
      <c r="C10" s="231"/>
      <c r="D10" s="232">
        <v>0.62219999999999998</v>
      </c>
      <c r="E10" s="200">
        <f t="shared" ca="1" si="4"/>
        <v>34.302718569007453</v>
      </c>
      <c r="F10" s="213">
        <v>30</v>
      </c>
      <c r="G10" s="33">
        <f t="shared" ca="1" si="0"/>
        <v>0.60928125749259476</v>
      </c>
      <c r="H10" s="33">
        <f>Modèles!D34</f>
        <v>0.56571082144915019</v>
      </c>
      <c r="I10" s="250">
        <f ca="1">-0.5*LN(1+(G10/H10-1/Modèles!$D$28)/(1-G10))</f>
        <v>0.1885291853511499</v>
      </c>
      <c r="J10" s="244">
        <f ca="1">1-(1+EXP(2*(I10+IF(Introduction!D$12="45q15",Modèles!$C$24,Modèles!$C$27))))/(1+EXP(2*(I10+Modèles!$C$33)))</f>
        <v>0.29708015023560008</v>
      </c>
      <c r="K10" s="251">
        <f ca="1">IF(T10&lt;T9,T10,NA())</f>
        <v>1976.2029158869498</v>
      </c>
      <c r="L10" s="66"/>
      <c r="M10" s="31" t="s">
        <v>3</v>
      </c>
      <c r="N10" s="32">
        <f t="shared" si="8"/>
        <v>30</v>
      </c>
      <c r="O10" s="33">
        <f t="shared" si="1"/>
        <v>0.57305947335333351</v>
      </c>
      <c r="P10" s="33">
        <f t="shared" ca="1" si="2"/>
        <v>0.33795910002427682</v>
      </c>
      <c r="Q10" s="33">
        <f t="shared" ca="1" si="3"/>
        <v>0.17602154065016473</v>
      </c>
      <c r="R10" s="82">
        <f t="shared" si="5"/>
        <v>15.375</v>
      </c>
      <c r="S10" s="34">
        <f t="shared" ca="1" si="6"/>
        <v>12.668668812503718</v>
      </c>
      <c r="T10" s="35">
        <f t="shared" ca="1" si="7"/>
        <v>1976.2029158869498</v>
      </c>
      <c r="V10" s="31">
        <f t="shared" si="9"/>
        <v>30</v>
      </c>
      <c r="W10" s="110">
        <v>-0.7056</v>
      </c>
      <c r="X10" s="205">
        <v>2.0760000000000001E-2</v>
      </c>
      <c r="Y10" s="110">
        <v>0.19969999999999999</v>
      </c>
      <c r="Z10" s="110">
        <v>0.90659999999999996</v>
      </c>
      <c r="AB10" s="23"/>
      <c r="AD10" s="23"/>
      <c r="AE10" s="23"/>
      <c r="AF10" s="23"/>
      <c r="AG10" s="23"/>
      <c r="AH10" s="23"/>
      <c r="AI10" s="23"/>
      <c r="AJ10" s="23"/>
      <c r="AK10" s="23"/>
      <c r="AL10" s="23"/>
      <c r="AM10" s="23"/>
      <c r="AN10" s="23"/>
      <c r="AO10" s="23"/>
      <c r="AP10" s="23"/>
      <c r="AQ10" s="23"/>
      <c r="AR10" s="23"/>
      <c r="AS10" s="23"/>
      <c r="AT10" s="23"/>
      <c r="AU10" s="23"/>
      <c r="AV10" s="23"/>
      <c r="AW10" s="23"/>
      <c r="AX10" s="23"/>
      <c r="AY10" s="23"/>
      <c r="AZ10" s="23"/>
      <c r="BA10" s="23"/>
      <c r="BB10" s="23"/>
      <c r="BC10" s="23"/>
      <c r="BD10" s="23"/>
      <c r="BE10" s="23"/>
      <c r="BF10" s="23"/>
      <c r="BG10" s="23"/>
      <c r="BH10" s="23"/>
    </row>
    <row r="11" spans="1:60" ht="15" customHeight="1">
      <c r="A11" s="31" t="s">
        <v>4</v>
      </c>
      <c r="B11" s="245"/>
      <c r="C11" s="245"/>
      <c r="D11" s="232">
        <v>0.52780000000000005</v>
      </c>
      <c r="E11" s="200">
        <f ca="1">$C$42</f>
        <v>34.302718569007453</v>
      </c>
      <c r="F11" s="213">
        <v>35</v>
      </c>
      <c r="G11" s="33">
        <f t="shared" ca="1" si="0"/>
        <v>0.45440590392535574</v>
      </c>
      <c r="H11" s="33">
        <f>Modèles!D35</f>
        <v>0.45955087928190458</v>
      </c>
      <c r="I11" s="250">
        <f ca="1">-0.5*LN(1+(G11/H11-1/Modèles!$D$28)/(1-G11))</f>
        <v>0.24440191473609588</v>
      </c>
      <c r="J11" s="244">
        <f ca="1">1-(1+EXP(2*(I11+IF(Introduction!D$12="45q15",Modèles!$C$24,Modèles!$C$27))))/(1+EXP(2*(I11+Modèles!$C$33)))</f>
        <v>0.31572896739183587</v>
      </c>
      <c r="K11" s="251">
        <f ca="1">IF(T11&lt;T10,T11,NA())</f>
        <v>1974.9831849263182</v>
      </c>
      <c r="L11" s="66"/>
      <c r="M11" s="31" t="s">
        <v>4</v>
      </c>
      <c r="N11" s="32">
        <f t="shared" si="8"/>
        <v>35</v>
      </c>
      <c r="O11" s="33">
        <f t="shared" si="1"/>
        <v>0.44966674326661071</v>
      </c>
      <c r="P11" s="33">
        <f t="shared" ca="1" si="2"/>
        <v>0.230310173198956</v>
      </c>
      <c r="Q11" s="33">
        <f t="shared" ca="1" si="3"/>
        <v>0.22302658611831325</v>
      </c>
      <c r="R11" s="82">
        <f>(N11+0.75)/2</f>
        <v>17.875</v>
      </c>
      <c r="S11" s="34">
        <f t="shared" ca="1" si="6"/>
        <v>13.88839977313515</v>
      </c>
      <c r="T11" s="35">
        <f t="shared" ca="1" si="7"/>
        <v>1974.9831849263182</v>
      </c>
      <c r="V11" s="31">
        <f t="shared" si="9"/>
        <v>35</v>
      </c>
      <c r="W11" s="110">
        <v>-0.9153</v>
      </c>
      <c r="X11" s="205">
        <v>2.4930000000000001E-2</v>
      </c>
      <c r="Y11" s="110">
        <v>0.34839999999999999</v>
      </c>
      <c r="Z11" s="110">
        <v>0.86309999999999998</v>
      </c>
      <c r="AB11" s="23"/>
      <c r="AC11" s="23"/>
      <c r="AD11" s="23"/>
      <c r="AE11" s="23"/>
      <c r="AF11" s="23"/>
      <c r="AG11" s="23"/>
      <c r="AH11" s="23"/>
      <c r="AI11" s="23"/>
      <c r="AJ11" s="23"/>
      <c r="AK11" s="23"/>
      <c r="AL11" s="23"/>
      <c r="AM11" s="23"/>
      <c r="AN11" s="23"/>
      <c r="AO11" s="23"/>
      <c r="AP11" s="23"/>
      <c r="AQ11" s="23"/>
      <c r="AR11" s="23"/>
      <c r="AS11" s="23"/>
      <c r="AT11" s="23"/>
      <c r="AU11" s="23"/>
      <c r="AV11" s="23"/>
      <c r="AW11" s="23"/>
      <c r="AX11" s="23"/>
      <c r="AY11" s="23"/>
      <c r="AZ11" s="23"/>
      <c r="BA11" s="23"/>
      <c r="BB11" s="23"/>
      <c r="BC11" s="23"/>
      <c r="BD11" s="23"/>
      <c r="BE11" s="23"/>
      <c r="BF11" s="23"/>
      <c r="BG11" s="23"/>
      <c r="BH11" s="23"/>
    </row>
    <row r="12" spans="1:60" ht="15" customHeight="1">
      <c r="A12" s="80" t="s">
        <v>5</v>
      </c>
      <c r="B12" s="231"/>
      <c r="C12" s="231"/>
      <c r="D12" s="232">
        <v>0.3831</v>
      </c>
      <c r="E12" s="200">
        <f t="shared" ca="1" si="4"/>
        <v>34.302718569007453</v>
      </c>
      <c r="F12" s="213">
        <v>40</v>
      </c>
      <c r="G12" s="33">
        <f t="shared" ca="1" si="0"/>
        <v>0.28742528429334635</v>
      </c>
      <c r="H12" s="33">
        <f>Modèles!D36</f>
        <v>0.33555954367971813</v>
      </c>
      <c r="I12" s="250">
        <f ca="1">-0.5*LN(1+(G12/H12-1/Modèles!$D$28)/(1-G12))</f>
        <v>0.32853360120700326</v>
      </c>
      <c r="J12" s="244">
        <f ca="1">1-(1+EXP(2*(I12+IF(Introduction!D$12="45q15",Modèles!$C$24,Modèles!$C$27))))/(1+EXP(2*(I12+Modèles!$C$33)))</f>
        <v>0.34401683346929957</v>
      </c>
      <c r="K12" s="251">
        <f ca="1">IF(T12&lt;T11,T12,NA())</f>
        <v>1974.9177445389921</v>
      </c>
      <c r="L12" s="66"/>
      <c r="M12" s="80" t="s">
        <v>5</v>
      </c>
      <c r="N12" s="81">
        <f t="shared" si="8"/>
        <v>40</v>
      </c>
      <c r="O12" s="70">
        <f t="shared" si="1"/>
        <v>0.31572554537129238</v>
      </c>
      <c r="P12" s="70">
        <f t="shared" ca="1" si="2"/>
        <v>0.12266124637363517</v>
      </c>
      <c r="Q12" s="70">
        <f t="shared" ca="1" si="3"/>
        <v>0.31514894917980568</v>
      </c>
      <c r="R12" s="82">
        <f t="shared" si="5"/>
        <v>20.375</v>
      </c>
      <c r="S12" s="82">
        <f t="shared" ca="1" si="6"/>
        <v>13.953840160461461</v>
      </c>
      <c r="T12" s="67">
        <f t="shared" ca="1" si="7"/>
        <v>1974.9177445389921</v>
      </c>
      <c r="V12" s="80">
        <f t="shared" si="9"/>
        <v>40</v>
      </c>
      <c r="W12" s="116">
        <v>-0.995</v>
      </c>
      <c r="X12" s="206">
        <v>2.6349999999999998E-2</v>
      </c>
      <c r="Y12" s="116">
        <v>0.4269</v>
      </c>
      <c r="Z12" s="116">
        <v>0.82630000000000003</v>
      </c>
      <c r="AB12" s="23"/>
      <c r="AC12" s="23"/>
      <c r="AD12" s="23"/>
      <c r="AE12" s="23"/>
      <c r="AF12" s="23"/>
      <c r="AG12" s="23"/>
      <c r="AH12" s="23"/>
      <c r="AI12" s="23"/>
      <c r="AJ12" s="23"/>
      <c r="AK12" s="23"/>
      <c r="AL12" s="23"/>
      <c r="AM12" s="23"/>
      <c r="AN12" s="23"/>
      <c r="AO12" s="23"/>
      <c r="AP12" s="23"/>
      <c r="AQ12" s="23"/>
      <c r="AR12" s="23"/>
      <c r="AS12" s="23"/>
      <c r="AT12" s="23"/>
      <c r="AU12" s="23"/>
      <c r="AV12" s="23"/>
      <c r="AW12" s="23"/>
      <c r="AX12" s="23"/>
      <c r="AY12" s="23"/>
      <c r="AZ12" s="23"/>
      <c r="BA12" s="23"/>
      <c r="BB12" s="23"/>
      <c r="BC12" s="23"/>
      <c r="BD12" s="23"/>
      <c r="BE12" s="23"/>
      <c r="BF12" s="23"/>
      <c r="BG12" s="23"/>
      <c r="BH12" s="23"/>
    </row>
    <row r="13" spans="1:60" ht="15" customHeight="1">
      <c r="A13" s="104" t="s">
        <v>6</v>
      </c>
      <c r="B13" s="246"/>
      <c r="C13" s="246"/>
      <c r="D13" s="234">
        <v>0.26019999999999999</v>
      </c>
      <c r="E13" s="201">
        <f t="shared" ca="1" si="4"/>
        <v>34.302718569007453</v>
      </c>
      <c r="F13" s="201"/>
      <c r="G13" s="38"/>
      <c r="H13" s="38"/>
      <c r="I13" s="38"/>
      <c r="J13" s="38"/>
      <c r="K13" s="38"/>
      <c r="L13" s="66"/>
      <c r="M13" s="103"/>
      <c r="N13" s="112"/>
      <c r="O13" s="113"/>
      <c r="P13" s="103"/>
      <c r="Q13" s="112"/>
      <c r="R13" s="114"/>
      <c r="S13" s="112"/>
      <c r="T13" s="115"/>
      <c r="V13" s="36">
        <f t="shared" si="9"/>
        <v>45</v>
      </c>
      <c r="W13" s="38"/>
      <c r="X13" s="117"/>
      <c r="Y13" s="38"/>
      <c r="Z13" s="95"/>
      <c r="AB13" s="23"/>
      <c r="AC13" s="23"/>
      <c r="AD13" s="23"/>
      <c r="AE13" s="23"/>
      <c r="AF13" s="23"/>
      <c r="AG13" s="23"/>
      <c r="AH13" s="23"/>
      <c r="AI13" s="23"/>
      <c r="AJ13" s="23"/>
      <c r="AK13" s="23"/>
      <c r="AL13" s="23"/>
      <c r="AM13" s="23"/>
      <c r="AN13" s="23"/>
      <c r="AO13" s="23"/>
      <c r="AP13" s="23"/>
      <c r="AQ13" s="23"/>
      <c r="AR13" s="23"/>
      <c r="AS13" s="23"/>
      <c r="AT13" s="23"/>
      <c r="AU13" s="23"/>
      <c r="AV13" s="23"/>
      <c r="AW13" s="23"/>
      <c r="AX13" s="23"/>
      <c r="AY13" s="23"/>
      <c r="AZ13" s="23"/>
      <c r="BA13" s="23"/>
      <c r="BB13" s="23"/>
      <c r="BC13" s="23"/>
      <c r="BD13" s="23"/>
      <c r="BE13" s="23"/>
      <c r="BF13" s="23"/>
      <c r="BG13" s="23"/>
      <c r="BH13" s="23"/>
    </row>
    <row r="14" spans="1:60" ht="15" customHeight="1">
      <c r="A14" s="106"/>
      <c r="B14" s="107"/>
      <c r="C14" s="108"/>
      <c r="D14" s="85"/>
      <c r="E14" s="85"/>
      <c r="F14" s="85"/>
      <c r="G14" s="85"/>
      <c r="H14" s="85"/>
      <c r="I14" s="85"/>
      <c r="J14" s="85"/>
      <c r="K14" s="85"/>
      <c r="L14" s="66"/>
      <c r="M14" s="47"/>
      <c r="N14" s="47"/>
      <c r="O14" s="48"/>
      <c r="P14" s="47"/>
      <c r="Q14" s="47"/>
      <c r="R14" s="48"/>
      <c r="S14" s="47"/>
      <c r="T14" s="47"/>
      <c r="AA14" s="23"/>
      <c r="AB14" s="23"/>
      <c r="AC14" s="23"/>
      <c r="AD14" s="23"/>
      <c r="AE14" s="23"/>
      <c r="AF14" s="23"/>
      <c r="AG14" s="23"/>
      <c r="AH14" s="23"/>
      <c r="AI14" s="23"/>
      <c r="AJ14" s="23"/>
      <c r="AK14" s="23"/>
      <c r="AL14" s="23"/>
      <c r="AM14" s="23"/>
      <c r="AN14" s="23"/>
      <c r="AO14" s="23"/>
      <c r="AP14" s="23"/>
      <c r="AQ14" s="23"/>
      <c r="AR14" s="23"/>
      <c r="AS14" s="23"/>
      <c r="AT14" s="23"/>
      <c r="AU14" s="23"/>
      <c r="AV14" s="23"/>
      <c r="AW14" s="23"/>
      <c r="AX14" s="23"/>
      <c r="AY14" s="23"/>
      <c r="AZ14" s="23"/>
      <c r="BA14" s="23"/>
      <c r="BB14" s="23"/>
      <c r="BC14" s="23"/>
      <c r="BD14" s="23"/>
      <c r="BE14" s="23"/>
      <c r="BF14" s="23"/>
      <c r="BG14" s="23"/>
      <c r="BH14" s="23"/>
    </row>
    <row r="15" spans="1:60" ht="15" customHeight="1">
      <c r="A15" s="208" t="s">
        <v>111</v>
      </c>
      <c r="D15" s="23"/>
      <c r="E15" s="23"/>
      <c r="F15" s="23"/>
      <c r="G15" s="54" t="s">
        <v>160</v>
      </c>
      <c r="I15" s="85"/>
      <c r="J15" s="85"/>
      <c r="K15" s="105"/>
      <c r="L15" s="23"/>
      <c r="S15" s="96" t="s">
        <v>15</v>
      </c>
      <c r="T15" s="126">
        <f>Date_of_survey</f>
        <v>1988.8715846994535</v>
      </c>
      <c r="U15" s="23"/>
      <c r="V15" s="54" t="s">
        <v>140</v>
      </c>
      <c r="W15" s="23"/>
      <c r="X15" s="23"/>
      <c r="Y15" s="23"/>
      <c r="Z15" s="23"/>
      <c r="AA15" s="23"/>
      <c r="AB15" s="23"/>
      <c r="AC15" s="23"/>
      <c r="AD15" s="23"/>
      <c r="AE15" s="23"/>
      <c r="AF15" s="23"/>
      <c r="AG15" s="23"/>
      <c r="AH15" s="23"/>
      <c r="AI15" s="23"/>
      <c r="AJ15" s="23"/>
      <c r="AK15" s="23"/>
      <c r="AL15" s="23"/>
      <c r="AM15" s="23"/>
      <c r="AN15" s="23"/>
      <c r="AO15" s="23"/>
      <c r="AP15" s="23"/>
      <c r="AQ15" s="23"/>
      <c r="AR15" s="23"/>
      <c r="AS15" s="23"/>
      <c r="AT15" s="23"/>
      <c r="AU15" s="23"/>
      <c r="AV15" s="23"/>
      <c r="AW15" s="23"/>
      <c r="AX15" s="23"/>
      <c r="AY15" s="23"/>
      <c r="AZ15" s="23"/>
      <c r="BA15" s="23"/>
      <c r="BB15" s="23"/>
      <c r="BC15" s="23"/>
      <c r="BD15" s="23"/>
      <c r="BE15" s="23"/>
      <c r="BF15" s="23"/>
      <c r="BG15" s="23"/>
      <c r="BH15" s="23"/>
    </row>
    <row r="16" spans="1:60" ht="15.75" customHeight="1">
      <c r="A16" s="262"/>
      <c r="B16" s="263"/>
      <c r="C16" s="263"/>
      <c r="D16" s="263"/>
      <c r="E16" s="286" t="s">
        <v>114</v>
      </c>
      <c r="F16" s="26"/>
      <c r="G16" s="263"/>
      <c r="H16" s="263"/>
      <c r="I16" s="263"/>
      <c r="J16" s="26" t="s">
        <v>115</v>
      </c>
      <c r="K16" s="263"/>
      <c r="L16" s="1"/>
      <c r="M16" s="26" t="s">
        <v>116</v>
      </c>
      <c r="N16" s="26" t="s">
        <v>126</v>
      </c>
      <c r="O16" s="26" t="s">
        <v>16</v>
      </c>
      <c r="P16" s="26" t="s">
        <v>17</v>
      </c>
      <c r="Q16" s="26" t="s">
        <v>127</v>
      </c>
      <c r="R16" s="26" t="s">
        <v>128</v>
      </c>
      <c r="S16" s="26" t="s">
        <v>129</v>
      </c>
      <c r="T16" s="166"/>
      <c r="U16" s="9"/>
      <c r="V16" s="88"/>
      <c r="W16" s="88"/>
      <c r="X16" s="88"/>
      <c r="Y16" s="88"/>
      <c r="Z16" s="88"/>
      <c r="AA16" s="88"/>
      <c r="AB16" s="23"/>
      <c r="AC16" s="23"/>
      <c r="AD16" s="23"/>
      <c r="AE16" s="23"/>
      <c r="AF16" s="23"/>
      <c r="AG16" s="23"/>
      <c r="AH16" s="23"/>
      <c r="AI16" s="23"/>
      <c r="AJ16" s="23"/>
      <c r="AK16" s="23"/>
      <c r="AL16" s="23"/>
      <c r="AM16" s="23"/>
      <c r="AN16" s="23"/>
      <c r="AO16" s="23"/>
      <c r="AP16" s="23"/>
      <c r="AQ16" s="23"/>
      <c r="AR16" s="23"/>
      <c r="AS16" s="23"/>
      <c r="AT16" s="23"/>
      <c r="AU16" s="23"/>
      <c r="AV16" s="23"/>
      <c r="AW16" s="23"/>
      <c r="AX16" s="23"/>
      <c r="AY16" s="23"/>
      <c r="AZ16" s="23"/>
      <c r="BA16" s="23"/>
      <c r="BB16" s="23"/>
      <c r="BC16" s="23"/>
      <c r="BD16" s="23"/>
      <c r="BE16" s="23"/>
      <c r="BF16" s="23"/>
    </row>
    <row r="17" spans="1:58" ht="15.75" customHeight="1">
      <c r="A17" s="28" t="s">
        <v>116</v>
      </c>
      <c r="B17" s="28" t="s">
        <v>29</v>
      </c>
      <c r="C17" s="28" t="s">
        <v>138</v>
      </c>
      <c r="D17" s="28" t="s">
        <v>16</v>
      </c>
      <c r="E17" s="287"/>
      <c r="F17" s="28" t="s">
        <v>0</v>
      </c>
      <c r="G17" s="198" t="s">
        <v>35</v>
      </c>
      <c r="H17" s="280" t="s">
        <v>17</v>
      </c>
      <c r="I17" s="28" t="s">
        <v>119</v>
      </c>
      <c r="J17" s="28" t="s">
        <v>120</v>
      </c>
      <c r="K17" s="199"/>
      <c r="L17" s="1"/>
      <c r="M17" s="28" t="s">
        <v>121</v>
      </c>
      <c r="N17" s="28" t="s">
        <v>130</v>
      </c>
      <c r="O17" s="28" t="s">
        <v>131</v>
      </c>
      <c r="P17" s="28" t="s">
        <v>132</v>
      </c>
      <c r="Q17" s="28" t="s">
        <v>133</v>
      </c>
      <c r="R17" s="28" t="s">
        <v>134</v>
      </c>
      <c r="S17" s="28" t="s">
        <v>135</v>
      </c>
      <c r="T17" s="28" t="s">
        <v>12</v>
      </c>
      <c r="U17" s="9"/>
      <c r="V17" s="58" t="s">
        <v>8</v>
      </c>
      <c r="W17" s="28" t="s">
        <v>24</v>
      </c>
      <c r="X17" s="28" t="s">
        <v>25</v>
      </c>
      <c r="Y17" s="28" t="s">
        <v>26</v>
      </c>
      <c r="Z17" s="28" t="s">
        <v>27</v>
      </c>
      <c r="AA17" s="28" t="s">
        <v>28</v>
      </c>
      <c r="AB17" s="23"/>
      <c r="AC17" s="23"/>
      <c r="AD17" s="23"/>
      <c r="AE17" s="23"/>
      <c r="AF17" s="23"/>
      <c r="AG17" s="23"/>
      <c r="AH17" s="23"/>
      <c r="AI17" s="23"/>
      <c r="AJ17" s="23"/>
      <c r="AK17" s="23"/>
      <c r="AL17" s="23"/>
      <c r="AM17" s="23"/>
      <c r="AN17" s="23"/>
      <c r="AO17" s="23"/>
      <c r="AP17" s="23"/>
      <c r="AQ17" s="23"/>
      <c r="AR17" s="23"/>
      <c r="AS17" s="23"/>
      <c r="AT17" s="23"/>
      <c r="AU17" s="23"/>
      <c r="AV17" s="23"/>
      <c r="AW17" s="23"/>
      <c r="AX17" s="23"/>
      <c r="AY17" s="23"/>
      <c r="AZ17" s="23"/>
      <c r="BA17" s="23"/>
      <c r="BB17" s="23"/>
      <c r="BC17" s="23"/>
      <c r="BD17" s="23"/>
      <c r="BE17" s="23"/>
      <c r="BF17" s="23"/>
    </row>
    <row r="18" spans="1:58" ht="15.75" customHeight="1">
      <c r="A18" s="30" t="s">
        <v>121</v>
      </c>
      <c r="B18" s="30" t="s">
        <v>122</v>
      </c>
      <c r="C18" s="30" t="s">
        <v>123</v>
      </c>
      <c r="D18" s="30" t="s">
        <v>123</v>
      </c>
      <c r="E18" s="288"/>
      <c r="F18" s="29" t="s">
        <v>8</v>
      </c>
      <c r="G18" s="56" t="s">
        <v>43</v>
      </c>
      <c r="H18" s="281" t="s">
        <v>37</v>
      </c>
      <c r="I18" s="61" t="s">
        <v>31</v>
      </c>
      <c r="J18" s="264"/>
      <c r="K18" s="63" t="s">
        <v>12</v>
      </c>
      <c r="L18" s="1"/>
      <c r="M18" s="265"/>
      <c r="N18" s="29" t="s">
        <v>18</v>
      </c>
      <c r="O18" s="30" t="s">
        <v>19</v>
      </c>
      <c r="P18" s="29" t="s">
        <v>20</v>
      </c>
      <c r="Q18" s="30" t="s">
        <v>21</v>
      </c>
      <c r="R18" s="30" t="s">
        <v>139</v>
      </c>
      <c r="S18" s="29" t="s">
        <v>23</v>
      </c>
      <c r="T18" s="265"/>
      <c r="U18" s="9"/>
      <c r="V18" s="79"/>
      <c r="W18" s="79"/>
      <c r="X18" s="79"/>
      <c r="Y18" s="79"/>
      <c r="Z18" s="79"/>
      <c r="AA18" s="79"/>
      <c r="AB18" s="23"/>
      <c r="AC18" s="23"/>
      <c r="AD18" s="23"/>
      <c r="AE18" s="23"/>
      <c r="AF18" s="23"/>
      <c r="AG18" s="23"/>
      <c r="AH18" s="23"/>
      <c r="AI18" s="23"/>
      <c r="AJ18" s="23"/>
      <c r="AK18" s="23"/>
      <c r="AL18" s="23"/>
      <c r="AM18" s="23"/>
      <c r="AN18" s="23"/>
      <c r="AO18" s="23"/>
      <c r="AP18" s="23"/>
      <c r="AQ18" s="23"/>
      <c r="AR18" s="23"/>
      <c r="AS18" s="23"/>
      <c r="AT18" s="23"/>
      <c r="AU18" s="23"/>
      <c r="AV18" s="23"/>
      <c r="AW18" s="23"/>
      <c r="AX18" s="23"/>
      <c r="AY18" s="23"/>
      <c r="AZ18" s="23"/>
      <c r="BA18" s="23"/>
      <c r="BB18" s="23"/>
      <c r="BC18" s="23"/>
      <c r="BD18" s="23"/>
      <c r="BE18" s="23"/>
      <c r="BF18" s="23"/>
    </row>
    <row r="19" spans="1:58" ht="15" customHeight="1">
      <c r="A19" s="73"/>
      <c r="B19" s="84"/>
      <c r="C19" s="84"/>
      <c r="D19" s="73"/>
      <c r="E19" s="73"/>
      <c r="F19" s="73"/>
      <c r="G19" s="73"/>
      <c r="H19" s="33"/>
      <c r="I19" s="73"/>
      <c r="J19" s="73"/>
      <c r="K19" s="74"/>
      <c r="L19" s="1"/>
      <c r="M19" s="49"/>
      <c r="N19" s="49"/>
      <c r="O19" s="49"/>
      <c r="P19" s="49"/>
      <c r="Q19" s="49"/>
      <c r="R19" s="49"/>
      <c r="S19" s="49"/>
      <c r="T19" s="49"/>
      <c r="U19" s="9"/>
      <c r="V19" s="88"/>
      <c r="W19" s="73"/>
      <c r="X19" s="73"/>
      <c r="Y19" s="73"/>
      <c r="Z19" s="73"/>
      <c r="AA19" s="73"/>
      <c r="AB19" s="23"/>
      <c r="AC19" s="23"/>
      <c r="AD19" s="23"/>
      <c r="AE19" s="23"/>
      <c r="AF19" s="23"/>
      <c r="AG19" s="23"/>
      <c r="AH19" s="23"/>
      <c r="AI19" s="23"/>
      <c r="AJ19" s="23"/>
      <c r="AK19" s="23"/>
      <c r="AL19" s="23"/>
      <c r="AM19" s="23"/>
      <c r="AN19" s="23"/>
      <c r="AO19" s="23"/>
      <c r="AP19" s="23"/>
      <c r="AQ19" s="23"/>
      <c r="AR19" s="23"/>
      <c r="AS19" s="23"/>
      <c r="AT19" s="23"/>
      <c r="AU19" s="23"/>
      <c r="AV19" s="23"/>
      <c r="AW19" s="23"/>
      <c r="AX19" s="23"/>
      <c r="AY19" s="23"/>
      <c r="AZ19" s="23"/>
      <c r="BA19" s="23"/>
      <c r="BB19" s="23"/>
      <c r="BC19" s="23"/>
      <c r="BD19" s="23"/>
      <c r="BE19" s="23"/>
      <c r="BF19" s="23"/>
    </row>
    <row r="20" spans="1:58" ht="15" customHeight="1">
      <c r="A20" s="123" t="s">
        <v>3</v>
      </c>
      <c r="B20" s="231"/>
      <c r="C20" s="231"/>
      <c r="D20" s="232">
        <v>0.82110000000000005</v>
      </c>
      <c r="E20" s="120">
        <f>AVERAGE(E32:E33)</f>
        <v>19.7</v>
      </c>
      <c r="F20" s="217">
        <v>30</v>
      </c>
      <c r="G20" s="33">
        <f ca="1">IF(D21&gt;0,W20+X20*E10+Y20*E20+Z20*D20+AA20*D21,NA())</f>
        <v>0.78009527087583819</v>
      </c>
      <c r="H20" s="33">
        <f>Modèles!D34</f>
        <v>0.56571082144915019</v>
      </c>
      <c r="I20" s="241">
        <f ca="1">-0.5*LN(1+(G20/H20-1/Modèles!$D$32)/(1-G20))</f>
        <v>7.0558923001829491E-2</v>
      </c>
      <c r="J20" s="244">
        <f ca="1">1-(1+EXP(2*(I20+IF(Introduction!D$12="45q15",Modèles!$C$24,Modèles!$C$27))))/(1+EXP(2*(I20+Modèles!$C$33)))</f>
        <v>0.25863228360487744</v>
      </c>
      <c r="K20" s="238">
        <f ca="1">T20</f>
        <v>1984.1147671273236</v>
      </c>
      <c r="L20" s="125"/>
      <c r="M20" s="31" t="s">
        <v>3</v>
      </c>
      <c r="N20" s="35">
        <f>N10-E20</f>
        <v>10.3</v>
      </c>
      <c r="O20" s="33">
        <f>SQRT(D20*D21)</f>
        <v>0.75921815046796659</v>
      </c>
      <c r="P20" s="33">
        <f ca="1">(1-(N10+E10)/80)/(1-(E10+E20)/80)</f>
        <v>0.60380472753120662</v>
      </c>
      <c r="Q20" s="33">
        <f ca="1">LN(O20/P20)/3</f>
        <v>7.6346102499058488E-2</v>
      </c>
      <c r="R20" s="32">
        <f>N20/2</f>
        <v>5.15</v>
      </c>
      <c r="S20" s="34">
        <f ca="1">R20*(1-Q20)</f>
        <v>4.7568175721298491</v>
      </c>
      <c r="T20" s="35">
        <f ca="1">$T$15-S20</f>
        <v>1984.1147671273236</v>
      </c>
      <c r="U20" s="126"/>
      <c r="V20" s="31">
        <v>30</v>
      </c>
      <c r="W20" s="127">
        <v>6.7599999999999993E-2</v>
      </c>
      <c r="X20" s="128">
        <v>1.5879999999999998E-2</v>
      </c>
      <c r="Y20" s="128">
        <v>-6.3299999999999997E-3</v>
      </c>
      <c r="Z20" s="127">
        <v>-1.2070000000000001</v>
      </c>
      <c r="AA20" s="127">
        <v>1.8284</v>
      </c>
      <c r="AB20" s="23"/>
      <c r="AC20" s="23"/>
      <c r="AD20" s="23"/>
      <c r="AE20" s="23"/>
      <c r="AF20" s="23"/>
      <c r="AG20" s="23"/>
      <c r="AH20" s="23"/>
      <c r="AI20" s="23"/>
      <c r="AJ20" s="23"/>
      <c r="AK20" s="23"/>
      <c r="AL20" s="23"/>
      <c r="AM20" s="23"/>
      <c r="AN20" s="23"/>
      <c r="AO20" s="23"/>
      <c r="AP20" s="23"/>
      <c r="AQ20" s="23"/>
      <c r="AR20" s="23"/>
      <c r="AS20" s="23"/>
      <c r="AT20" s="23"/>
      <c r="AU20" s="23"/>
      <c r="AV20" s="23"/>
      <c r="AW20" s="23"/>
      <c r="AX20" s="23"/>
      <c r="AY20" s="23"/>
      <c r="AZ20" s="23"/>
      <c r="BA20" s="23"/>
      <c r="BB20" s="23"/>
      <c r="BC20" s="23"/>
      <c r="BD20" s="23"/>
      <c r="BE20" s="23"/>
      <c r="BF20" s="23"/>
    </row>
    <row r="21" spans="1:58" ht="15" customHeight="1">
      <c r="A21" s="123" t="s">
        <v>4</v>
      </c>
      <c r="B21" s="245"/>
      <c r="C21" s="245"/>
      <c r="D21" s="232">
        <v>0.70199999999999996</v>
      </c>
      <c r="E21" s="120">
        <f t="shared" ref="E21:E23" si="10">AVERAGE(E33:E34)</f>
        <v>18.95</v>
      </c>
      <c r="F21" s="217">
        <v>35</v>
      </c>
      <c r="G21" s="33">
        <f ca="1">IF(D22&gt;0,W21+X21*E11+Y21*E21+Z21*D21+AA21*D22,NA())</f>
        <v>0.56326291307353937</v>
      </c>
      <c r="H21" s="33">
        <f>Modèles!D35</f>
        <v>0.45955087928190458</v>
      </c>
      <c r="I21" s="241">
        <f ca="1">-0.5*LN(1+(G21/H21-1/Modèles!$D$32)/(1-G21))</f>
        <v>0.26999304437653077</v>
      </c>
      <c r="J21" s="244">
        <f ca="1">1-(1+EXP(2*(I21+IF(Introduction!D$12="45q15",Modèles!$C$24,Modèles!$C$27))))/(1+EXP(2*(I21+Modèles!$C$33)))</f>
        <v>0.32432076712282709</v>
      </c>
      <c r="K21" s="238">
        <f t="shared" ref="K21:K22" ca="1" si="11">T21</f>
        <v>1981.9310364728451</v>
      </c>
      <c r="L21" s="125"/>
      <c r="M21" s="31" t="s">
        <v>4</v>
      </c>
      <c r="N21" s="35">
        <f>N11-E21</f>
        <v>16.05</v>
      </c>
      <c r="O21" s="33">
        <f t="shared" ref="O21:O22" si="12">SQRT(D21*D22)</f>
        <v>0.59987098612951761</v>
      </c>
      <c r="P21" s="33">
        <f ca="1">(1-(N11+E11)/80)/(1-(E11+E21)/80)</f>
        <v>0.39993901655356345</v>
      </c>
      <c r="Q21" s="33">
        <f t="shared" ref="Q21:Q22" ca="1" si="13">LN(O21/P21)/3</f>
        <v>0.13513417736966546</v>
      </c>
      <c r="R21" s="32">
        <f t="shared" ref="R21:R22" si="14">N21/2</f>
        <v>8.0250000000000004</v>
      </c>
      <c r="S21" s="34">
        <f t="shared" ref="S21:S22" ca="1" si="15">R21*(1-Q21)</f>
        <v>6.9405482266084348</v>
      </c>
      <c r="T21" s="35">
        <f ca="1">$T$15-S21</f>
        <v>1981.9310364728451</v>
      </c>
      <c r="U21" s="126"/>
      <c r="V21" s="31">
        <v>35</v>
      </c>
      <c r="W21" s="127">
        <v>-0.54590000000000005</v>
      </c>
      <c r="X21" s="128">
        <v>2.273E-2</v>
      </c>
      <c r="Y21" s="128">
        <v>-1.0829999999999999E-2</v>
      </c>
      <c r="Z21" s="127">
        <v>-0.25090000000000001</v>
      </c>
      <c r="AA21" s="127">
        <v>1.3867</v>
      </c>
      <c r="AB21" s="23"/>
      <c r="AC21" s="23"/>
      <c r="AD21" s="23"/>
      <c r="AE21" s="23"/>
      <c r="AF21" s="23"/>
      <c r="AG21" s="23"/>
      <c r="AH21" s="23"/>
      <c r="AI21" s="23"/>
      <c r="AJ21" s="23"/>
      <c r="AK21" s="23"/>
      <c r="AL21" s="23"/>
      <c r="AM21" s="23"/>
      <c r="AN21" s="23"/>
      <c r="AO21" s="23"/>
      <c r="AP21" s="23"/>
      <c r="AQ21" s="23"/>
      <c r="AR21" s="23"/>
      <c r="AS21" s="23"/>
      <c r="AT21" s="23"/>
      <c r="AU21" s="23"/>
      <c r="AV21" s="23"/>
      <c r="AW21" s="23"/>
      <c r="AX21" s="23"/>
      <c r="AY21" s="23"/>
      <c r="AZ21" s="23"/>
      <c r="BA21" s="23"/>
      <c r="BB21" s="23"/>
      <c r="BC21" s="23"/>
      <c r="BD21" s="23"/>
      <c r="BE21" s="23"/>
      <c r="BF21" s="23"/>
    </row>
    <row r="22" spans="1:58" ht="15" customHeight="1">
      <c r="A22" s="123" t="s">
        <v>5</v>
      </c>
      <c r="B22" s="231"/>
      <c r="C22" s="231"/>
      <c r="D22" s="232">
        <v>0.51259999999999994</v>
      </c>
      <c r="E22" s="120">
        <f t="shared" si="10"/>
        <v>18.25</v>
      </c>
      <c r="F22" s="217">
        <v>40</v>
      </c>
      <c r="G22" s="33">
        <f t="shared" ref="G22" ca="1" si="16">IF(D23&gt;0,W22+X22*E12+Y22*E22+Z22*D22+AA22*D23,NA())</f>
        <v>0.39938424087937552</v>
      </c>
      <c r="H22" s="33">
        <f>Modèles!D36</f>
        <v>0.33555954367971813</v>
      </c>
      <c r="I22" s="241">
        <f ca="1">-0.5*LN(1+(G22/H22-1/Modèles!$D$32)/(1-G22))</f>
        <v>0.22507445740001453</v>
      </c>
      <c r="J22" s="244">
        <f ca="1">1-(1+EXP(2*(I22+IF(Introduction!D$12="45q15",Modèles!$C$24,Modèles!$C$27))))/(1+EXP(2*(I22+Modèles!$C$33)))</f>
        <v>0.30925750501058669</v>
      </c>
      <c r="K22" s="238">
        <f t="shared" ca="1" si="11"/>
        <v>1980.6670460924565</v>
      </c>
      <c r="L22" s="125"/>
      <c r="M22" s="31" t="s">
        <v>5</v>
      </c>
      <c r="N22" s="35">
        <f>N12-E22</f>
        <v>21.75</v>
      </c>
      <c r="O22" s="33">
        <f t="shared" si="12"/>
        <v>0.43361466764859324</v>
      </c>
      <c r="P22" s="33">
        <f ca="1">(1-(N12+E12)/80)/(1-(E12+E22)/80)</f>
        <v>0.20757179341482498</v>
      </c>
      <c r="Q22" s="33">
        <f t="shared" ca="1" si="13"/>
        <v>0.24555966832211298</v>
      </c>
      <c r="R22" s="32">
        <f t="shared" si="14"/>
        <v>10.875</v>
      </c>
      <c r="S22" s="34">
        <f t="shared" ca="1" si="15"/>
        <v>8.204538606997021</v>
      </c>
      <c r="T22" s="35">
        <f ca="1">$T$15-S22</f>
        <v>1980.6670460924565</v>
      </c>
      <c r="U22" s="126"/>
      <c r="V22" s="31">
        <v>40</v>
      </c>
      <c r="W22" s="127">
        <v>-0.86739999999999995</v>
      </c>
      <c r="X22" s="128">
        <v>2.622E-2</v>
      </c>
      <c r="Y22" s="128">
        <v>-1.1350000000000001E-2</v>
      </c>
      <c r="Z22" s="127">
        <v>0.60570000000000002</v>
      </c>
      <c r="AA22" s="127">
        <v>0.7198</v>
      </c>
      <c r="AB22" s="23"/>
      <c r="AC22" s="23"/>
      <c r="AD22" s="23"/>
      <c r="AE22" s="23"/>
      <c r="AF22" s="23"/>
      <c r="AG22" s="23"/>
      <c r="AH22" s="23"/>
      <c r="AI22" s="23"/>
      <c r="AJ22" s="23"/>
      <c r="AK22" s="23"/>
      <c r="AL22" s="23"/>
      <c r="AM22" s="23"/>
      <c r="AN22" s="23"/>
      <c r="AO22" s="23"/>
      <c r="AP22" s="23"/>
      <c r="AQ22" s="23"/>
      <c r="AR22" s="23"/>
      <c r="AS22" s="23"/>
      <c r="AT22" s="23"/>
      <c r="AU22" s="23"/>
      <c r="AV22" s="23"/>
      <c r="AW22" s="23"/>
      <c r="AX22" s="23"/>
      <c r="AY22" s="23"/>
      <c r="AZ22" s="23"/>
      <c r="BA22" s="23"/>
      <c r="BB22" s="23"/>
      <c r="BC22" s="23"/>
      <c r="BD22" s="23"/>
      <c r="BE22" s="23"/>
      <c r="BF22" s="23"/>
    </row>
    <row r="23" spans="1:58" ht="15" customHeight="1">
      <c r="A23" s="129" t="s">
        <v>6</v>
      </c>
      <c r="B23" s="246"/>
      <c r="C23" s="246"/>
      <c r="D23" s="234">
        <v>0.36680000000000001</v>
      </c>
      <c r="E23" s="191">
        <f t="shared" si="10"/>
        <v>17.75</v>
      </c>
      <c r="F23" s="218"/>
      <c r="G23" s="38"/>
      <c r="H23" s="38"/>
      <c r="I23" s="38"/>
      <c r="J23" s="38"/>
      <c r="K23" s="38"/>
      <c r="L23" s="125"/>
      <c r="M23" s="36"/>
      <c r="N23" s="40"/>
      <c r="O23" s="38"/>
      <c r="P23" s="38"/>
      <c r="Q23" s="38"/>
      <c r="R23" s="37"/>
      <c r="S23" s="39"/>
      <c r="T23" s="40"/>
      <c r="U23" s="126"/>
      <c r="V23" s="36"/>
      <c r="W23" s="130"/>
      <c r="X23" s="117"/>
      <c r="Y23" s="117"/>
      <c r="Z23" s="130"/>
      <c r="AA23" s="130"/>
      <c r="AB23" s="23"/>
      <c r="AC23" s="23"/>
      <c r="AD23" s="23"/>
      <c r="AE23" s="23"/>
      <c r="AF23" s="23"/>
      <c r="AG23" s="23"/>
      <c r="AH23" s="23"/>
      <c r="AI23" s="23"/>
      <c r="AJ23" s="23"/>
      <c r="AK23" s="23"/>
      <c r="AL23" s="23"/>
      <c r="AM23" s="23"/>
      <c r="AN23" s="23"/>
      <c r="AO23" s="23"/>
      <c r="AP23" s="23"/>
      <c r="AQ23" s="23"/>
      <c r="AR23" s="23"/>
      <c r="AS23" s="23"/>
      <c r="AT23" s="23"/>
      <c r="AU23" s="23"/>
      <c r="AV23" s="23"/>
      <c r="AW23" s="23"/>
      <c r="AX23" s="23"/>
      <c r="AY23" s="23"/>
      <c r="AZ23" s="23"/>
      <c r="BA23" s="23"/>
      <c r="BB23" s="23"/>
      <c r="BC23" s="23"/>
      <c r="BD23" s="23"/>
      <c r="BE23" s="23"/>
      <c r="BF23" s="23"/>
    </row>
    <row r="24" spans="1:58" ht="15" customHeight="1">
      <c r="A24" s="125"/>
      <c r="B24" s="125"/>
      <c r="C24" s="125"/>
      <c r="H24" s="270" t="s">
        <v>10</v>
      </c>
      <c r="I24" s="241">
        <f ca="1">AVERAGEA(I20:I22)</f>
        <v>0.18854214159279159</v>
      </c>
      <c r="J24" s="244">
        <f ca="1">1-(1+EXP(2*(I24+IF(Introduction!D$12="45q15",Modèles!$C$24,Modèles!$C$27))))/(1+EXP(2*(I24+Modèles!$C$33)))</f>
        <v>0.29708445084093815</v>
      </c>
      <c r="K24" s="238">
        <f ca="1">AVERAGEA(K20:K22)</f>
        <v>1982.2376165642083</v>
      </c>
      <c r="L24" s="125"/>
      <c r="M24" s="47"/>
      <c r="N24" s="42"/>
      <c r="O24" s="43"/>
      <c r="P24" s="47"/>
      <c r="Q24" s="44"/>
      <c r="R24" s="45"/>
      <c r="S24" s="44"/>
      <c r="T24" s="46"/>
      <c r="U24" s="126"/>
      <c r="V24" s="126"/>
      <c r="W24" s="126"/>
      <c r="X24" s="126"/>
      <c r="Y24" s="126"/>
      <c r="Z24" s="126"/>
      <c r="AA24" s="126"/>
      <c r="AB24" s="23"/>
      <c r="AC24" s="23"/>
      <c r="AD24" s="23"/>
      <c r="AE24" s="23"/>
      <c r="AF24" s="23"/>
      <c r="AG24" s="23"/>
      <c r="AH24" s="23"/>
      <c r="AI24" s="23"/>
      <c r="AJ24" s="23"/>
      <c r="AK24" s="23"/>
      <c r="AL24" s="23"/>
      <c r="AM24" s="23"/>
      <c r="AN24" s="23"/>
      <c r="AO24" s="23"/>
      <c r="AP24" s="23"/>
      <c r="AQ24" s="23"/>
      <c r="AR24" s="23"/>
      <c r="AS24" s="23"/>
      <c r="AT24" s="23"/>
      <c r="AU24" s="23"/>
      <c r="AV24" s="23"/>
      <c r="AW24" s="23"/>
      <c r="AX24" s="23"/>
      <c r="AY24" s="23"/>
      <c r="AZ24" s="23"/>
      <c r="BA24" s="23"/>
      <c r="BB24" s="23"/>
      <c r="BC24" s="23"/>
      <c r="BD24" s="23"/>
      <c r="BE24" s="23"/>
      <c r="BF24" s="23"/>
    </row>
    <row r="25" spans="1:58" ht="15" customHeight="1">
      <c r="A25" s="125"/>
      <c r="B25" s="125"/>
      <c r="C25" s="125"/>
      <c r="H25" s="270" t="s">
        <v>11</v>
      </c>
      <c r="I25" s="241">
        <f ca="1">AVERAGEA(I20:I21)</f>
        <v>0.17027598368918012</v>
      </c>
      <c r="J25" s="244">
        <f ca="1">1-(1+EXP(2*(I25+IF(Introduction!D$12="45q15",Modèles!$C$24,Modèles!$C$27))))/(1+EXP(2*(I25+Modèles!$C$33)))</f>
        <v>0.2910349344066252</v>
      </c>
      <c r="K25" s="238">
        <f ca="1">AVERAGEA(K20:K21)</f>
        <v>1983.0229018000844</v>
      </c>
      <c r="L25" s="125"/>
      <c r="M25" s="126"/>
      <c r="N25" s="126"/>
      <c r="O25" s="48"/>
      <c r="P25" s="47"/>
      <c r="Q25" s="47"/>
      <c r="R25" s="48"/>
      <c r="S25" s="126"/>
      <c r="T25" s="126"/>
      <c r="U25" s="126"/>
      <c r="V25" s="126"/>
      <c r="W25" s="126"/>
      <c r="X25" s="126"/>
      <c r="Y25" s="126"/>
      <c r="Z25" s="126"/>
      <c r="AA25" s="126"/>
      <c r="AB25" s="23"/>
      <c r="AC25" s="23"/>
      <c r="AD25" s="23"/>
      <c r="AE25" s="23"/>
      <c r="AF25" s="23"/>
      <c r="AG25" s="23"/>
      <c r="AH25" s="23"/>
      <c r="AI25" s="23"/>
      <c r="AJ25" s="23"/>
      <c r="AK25" s="23"/>
      <c r="AL25" s="23"/>
      <c r="AM25" s="23"/>
      <c r="AN25" s="23"/>
      <c r="AO25" s="23"/>
      <c r="AP25" s="23"/>
      <c r="AQ25" s="23"/>
      <c r="AR25" s="23"/>
      <c r="AS25" s="23"/>
      <c r="AT25" s="23"/>
      <c r="AU25" s="23"/>
      <c r="AV25" s="23"/>
      <c r="AW25" s="23"/>
      <c r="AX25" s="23"/>
      <c r="AY25" s="23"/>
      <c r="AZ25" s="23"/>
      <c r="BA25" s="23"/>
      <c r="BB25" s="23"/>
      <c r="BC25" s="23"/>
      <c r="BD25" s="23"/>
      <c r="BE25" s="23"/>
      <c r="BF25" s="23"/>
    </row>
    <row r="26" spans="1:58" ht="15" customHeight="1">
      <c r="A26" s="125"/>
      <c r="B26" s="125"/>
      <c r="C26" s="125"/>
      <c r="H26" s="121"/>
      <c r="I26" s="121"/>
      <c r="J26" s="121"/>
      <c r="K26" s="121"/>
      <c r="L26" s="121"/>
      <c r="M26" s="121"/>
      <c r="N26" s="126"/>
      <c r="O26" s="48"/>
      <c r="P26" s="47"/>
      <c r="Q26" s="47"/>
      <c r="R26" s="48"/>
      <c r="S26" s="126"/>
      <c r="T26" s="126"/>
      <c r="U26" s="126"/>
      <c r="V26" s="126"/>
      <c r="W26" s="126"/>
      <c r="X26" s="126"/>
      <c r="Y26" s="126"/>
      <c r="Z26" s="126"/>
      <c r="AA26" s="126"/>
      <c r="AB26" s="23"/>
      <c r="AC26" s="23"/>
      <c r="AD26" s="23"/>
      <c r="AE26" s="23"/>
      <c r="AF26" s="23"/>
      <c r="AG26" s="23"/>
      <c r="AH26" s="23"/>
      <c r="AI26" s="23"/>
      <c r="AJ26" s="23"/>
      <c r="AK26" s="23"/>
      <c r="AL26" s="23"/>
      <c r="AM26" s="23"/>
      <c r="AN26" s="23"/>
      <c r="AO26" s="23"/>
      <c r="AP26" s="23"/>
      <c r="AQ26" s="23"/>
      <c r="AR26" s="23"/>
      <c r="AS26" s="23"/>
      <c r="AT26" s="23"/>
      <c r="AU26" s="23"/>
      <c r="AV26" s="23"/>
      <c r="AW26" s="23"/>
      <c r="AX26" s="23"/>
      <c r="AY26" s="23"/>
      <c r="AZ26" s="23"/>
      <c r="BA26" s="23"/>
      <c r="BB26" s="23"/>
      <c r="BC26" s="23"/>
      <c r="BD26" s="23"/>
      <c r="BE26" s="23"/>
      <c r="BF26" s="23"/>
    </row>
    <row r="27" spans="1:58" ht="15" customHeight="1">
      <c r="A27" s="208" t="s">
        <v>111</v>
      </c>
      <c r="B27" s="125"/>
      <c r="C27" s="125"/>
      <c r="D27" s="125"/>
      <c r="E27" s="125"/>
      <c r="F27" s="125"/>
      <c r="G27" s="54" t="s">
        <v>137</v>
      </c>
      <c r="I27" s="122"/>
      <c r="J27" s="125"/>
      <c r="K27" s="131"/>
      <c r="L27" s="125"/>
      <c r="M27" s="47"/>
      <c r="N27" s="47"/>
      <c r="O27" s="48"/>
      <c r="P27" s="47"/>
      <c r="Q27" s="47"/>
      <c r="R27" s="48"/>
      <c r="S27" s="96" t="s">
        <v>15</v>
      </c>
      <c r="T27" s="35">
        <f>Date_of_survey</f>
        <v>1988.8715846994535</v>
      </c>
      <c r="U27" s="126"/>
      <c r="V27" s="54" t="s">
        <v>140</v>
      </c>
      <c r="W27" s="126"/>
      <c r="X27" s="126"/>
      <c r="Y27" s="126"/>
      <c r="Z27" s="126"/>
      <c r="AA27" s="126"/>
      <c r="AB27" s="23"/>
      <c r="AC27" s="23"/>
      <c r="AD27" s="23"/>
      <c r="AE27" s="23"/>
      <c r="AF27" s="23"/>
      <c r="AG27" s="23"/>
      <c r="AH27" s="23"/>
      <c r="AI27" s="23"/>
      <c r="AJ27" s="23"/>
      <c r="AK27" s="23"/>
      <c r="AL27" s="23"/>
      <c r="AM27" s="23"/>
      <c r="AN27" s="23"/>
      <c r="AO27" s="23"/>
      <c r="AP27" s="23"/>
      <c r="AQ27" s="23"/>
      <c r="AR27" s="23"/>
      <c r="AS27" s="23"/>
      <c r="AT27" s="23"/>
      <c r="AU27" s="23"/>
      <c r="AV27" s="23"/>
      <c r="AW27" s="23"/>
      <c r="AX27" s="23"/>
      <c r="AY27" s="23"/>
      <c r="AZ27" s="23"/>
      <c r="BA27" s="23"/>
      <c r="BB27" s="23"/>
      <c r="BC27" s="23"/>
      <c r="BD27" s="23"/>
      <c r="BE27" s="23"/>
      <c r="BF27" s="23"/>
    </row>
    <row r="28" spans="1:58" ht="15" customHeight="1">
      <c r="A28" s="262"/>
      <c r="B28" s="263"/>
      <c r="C28" s="263"/>
      <c r="D28" s="263"/>
      <c r="E28" s="286" t="s">
        <v>114</v>
      </c>
      <c r="F28" s="26"/>
      <c r="G28" s="263"/>
      <c r="H28" s="263"/>
      <c r="I28" s="263"/>
      <c r="J28" s="26" t="s">
        <v>115</v>
      </c>
      <c r="K28" s="263"/>
      <c r="L28" s="131"/>
      <c r="M28" s="26" t="s">
        <v>116</v>
      </c>
      <c r="N28" s="26" t="s">
        <v>126</v>
      </c>
      <c r="O28" s="26" t="s">
        <v>16</v>
      </c>
      <c r="P28" s="26" t="s">
        <v>17</v>
      </c>
      <c r="Q28" s="26" t="s">
        <v>127</v>
      </c>
      <c r="R28" s="26" t="s">
        <v>128</v>
      </c>
      <c r="S28" s="26" t="s">
        <v>129</v>
      </c>
      <c r="T28" s="166"/>
      <c r="U28" s="139"/>
      <c r="V28" s="141"/>
      <c r="W28" s="141"/>
      <c r="X28" s="141"/>
      <c r="Y28" s="141"/>
      <c r="Z28" s="141"/>
      <c r="AA28" s="141"/>
      <c r="AB28" s="23"/>
      <c r="AC28" s="23"/>
      <c r="AD28" s="23"/>
      <c r="AE28" s="23"/>
      <c r="AF28" s="23"/>
      <c r="AG28" s="23"/>
      <c r="AH28" s="23"/>
      <c r="AI28" s="23"/>
      <c r="AJ28" s="23"/>
      <c r="AK28" s="23"/>
      <c r="AL28" s="23"/>
      <c r="AM28" s="23"/>
      <c r="AN28" s="23"/>
      <c r="AO28" s="23"/>
      <c r="AP28" s="23"/>
      <c r="AQ28" s="23"/>
      <c r="AR28" s="23"/>
      <c r="AS28" s="23"/>
      <c r="AT28" s="23"/>
      <c r="AU28" s="23"/>
      <c r="AV28" s="23"/>
      <c r="AW28" s="23"/>
      <c r="AX28" s="23"/>
      <c r="AY28" s="23"/>
      <c r="AZ28" s="23"/>
      <c r="BA28" s="23"/>
      <c r="BB28" s="23"/>
      <c r="BC28" s="23"/>
      <c r="BD28" s="23"/>
      <c r="BE28" s="23"/>
      <c r="BF28" s="23"/>
    </row>
    <row r="29" spans="1:58" ht="15" customHeight="1">
      <c r="A29" s="28" t="s">
        <v>116</v>
      </c>
      <c r="B29" s="28" t="s">
        <v>29</v>
      </c>
      <c r="C29" s="28" t="s">
        <v>138</v>
      </c>
      <c r="D29" s="28" t="s">
        <v>16</v>
      </c>
      <c r="E29" s="287"/>
      <c r="F29" s="28" t="s">
        <v>0</v>
      </c>
      <c r="G29" s="198" t="s">
        <v>40</v>
      </c>
      <c r="H29" s="280" t="s">
        <v>17</v>
      </c>
      <c r="I29" s="28" t="s">
        <v>119</v>
      </c>
      <c r="J29" s="28" t="s">
        <v>120</v>
      </c>
      <c r="K29" s="199"/>
      <c r="L29" s="131"/>
      <c r="M29" s="28" t="s">
        <v>121</v>
      </c>
      <c r="N29" s="28" t="s">
        <v>130</v>
      </c>
      <c r="O29" s="28" t="s">
        <v>131</v>
      </c>
      <c r="P29" s="28" t="s">
        <v>132</v>
      </c>
      <c r="Q29" s="28" t="s">
        <v>133</v>
      </c>
      <c r="R29" s="28" t="s">
        <v>134</v>
      </c>
      <c r="S29" s="28" t="s">
        <v>135</v>
      </c>
      <c r="T29" s="28" t="s">
        <v>12</v>
      </c>
      <c r="U29" s="139"/>
      <c r="V29" s="58" t="s">
        <v>8</v>
      </c>
      <c r="W29" s="28" t="s">
        <v>24</v>
      </c>
      <c r="X29" s="28" t="s">
        <v>25</v>
      </c>
      <c r="Y29" s="28" t="s">
        <v>26</v>
      </c>
      <c r="Z29" s="28" t="s">
        <v>27</v>
      </c>
      <c r="AA29" s="28" t="s">
        <v>28</v>
      </c>
      <c r="AB29" s="23"/>
      <c r="AC29" s="23"/>
      <c r="AD29" s="23"/>
      <c r="AE29" s="23"/>
      <c r="AF29" s="23"/>
      <c r="AG29" s="23"/>
      <c r="AH29" s="23"/>
      <c r="AI29" s="23"/>
      <c r="AJ29" s="23"/>
      <c r="AK29" s="23"/>
      <c r="AL29" s="23"/>
      <c r="AM29" s="23"/>
      <c r="AN29" s="23"/>
      <c r="AO29" s="23"/>
      <c r="AP29" s="23"/>
      <c r="AQ29" s="23"/>
      <c r="AR29" s="23"/>
      <c r="AS29" s="23"/>
      <c r="AT29" s="23"/>
      <c r="AU29" s="23"/>
      <c r="AV29" s="23"/>
      <c r="AW29" s="23"/>
      <c r="AX29" s="23"/>
      <c r="AY29" s="23"/>
      <c r="AZ29" s="23"/>
      <c r="BA29" s="23"/>
      <c r="BB29" s="23"/>
      <c r="BC29" s="23"/>
      <c r="BD29" s="23"/>
      <c r="BE29" s="23"/>
      <c r="BF29" s="23"/>
    </row>
    <row r="30" spans="1:58" ht="15" customHeight="1">
      <c r="A30" s="30" t="s">
        <v>121</v>
      </c>
      <c r="B30" s="30" t="s">
        <v>122</v>
      </c>
      <c r="C30" s="30" t="s">
        <v>123</v>
      </c>
      <c r="D30" s="30" t="s">
        <v>123</v>
      </c>
      <c r="E30" s="288"/>
      <c r="F30" s="29" t="s">
        <v>8</v>
      </c>
      <c r="G30" s="56" t="s">
        <v>36</v>
      </c>
      <c r="H30" s="281" t="s">
        <v>50</v>
      </c>
      <c r="I30" s="61" t="s">
        <v>31</v>
      </c>
      <c r="J30" s="264"/>
      <c r="K30" s="63" t="s">
        <v>12</v>
      </c>
      <c r="L30" s="90"/>
      <c r="M30" s="265"/>
      <c r="N30" s="29" t="s">
        <v>18</v>
      </c>
      <c r="O30" s="30" t="s">
        <v>19</v>
      </c>
      <c r="P30" s="29" t="s">
        <v>20</v>
      </c>
      <c r="Q30" s="30" t="s">
        <v>21</v>
      </c>
      <c r="R30" s="30" t="s">
        <v>139</v>
      </c>
      <c r="S30" s="29" t="s">
        <v>23</v>
      </c>
      <c r="T30" s="265"/>
      <c r="U30" s="139"/>
      <c r="V30" s="140"/>
      <c r="W30" s="140"/>
      <c r="X30" s="140"/>
      <c r="Y30" s="140"/>
      <c r="Z30" s="140"/>
      <c r="AA30" s="140"/>
      <c r="AB30" s="23"/>
      <c r="AC30" s="23"/>
      <c r="AD30" s="23"/>
      <c r="AE30" s="23"/>
      <c r="AF30" s="23"/>
      <c r="AG30" s="23"/>
      <c r="AH30" s="23"/>
      <c r="AI30" s="23"/>
      <c r="AJ30" s="23"/>
      <c r="AK30" s="23"/>
      <c r="AL30" s="23"/>
      <c r="AM30" s="23"/>
      <c r="AN30" s="23"/>
      <c r="AO30" s="23"/>
      <c r="AP30" s="23"/>
      <c r="AQ30" s="23"/>
      <c r="AR30" s="23"/>
      <c r="AS30" s="23"/>
      <c r="AT30" s="23"/>
      <c r="AU30" s="23"/>
      <c r="AV30" s="23"/>
      <c r="AW30" s="23"/>
      <c r="AX30" s="23"/>
      <c r="AY30" s="23"/>
      <c r="AZ30" s="23"/>
      <c r="BA30" s="23"/>
      <c r="BB30" s="23"/>
      <c r="BC30" s="23"/>
      <c r="BD30" s="23"/>
      <c r="BE30" s="23"/>
      <c r="BF30" s="23"/>
    </row>
    <row r="31" spans="1:58" ht="15" customHeight="1">
      <c r="A31" s="124"/>
      <c r="B31" s="124"/>
      <c r="C31" s="124"/>
      <c r="D31" s="124"/>
      <c r="E31" s="124"/>
      <c r="F31" s="124"/>
      <c r="G31" s="124"/>
      <c r="H31" s="33"/>
      <c r="I31" s="124"/>
      <c r="J31" s="124"/>
      <c r="K31" s="133"/>
      <c r="L31" s="131"/>
      <c r="M31" s="134"/>
      <c r="N31" s="134"/>
      <c r="O31" s="135"/>
      <c r="P31" s="135"/>
      <c r="Q31" s="132"/>
      <c r="R31" s="132"/>
      <c r="S31" s="132"/>
      <c r="T31" s="132"/>
      <c r="U31" s="126"/>
      <c r="V31" s="132"/>
      <c r="W31" s="136"/>
      <c r="X31" s="136"/>
      <c r="Y31" s="136"/>
      <c r="Z31" s="136"/>
      <c r="AA31" s="136"/>
      <c r="AB31" s="23"/>
      <c r="AC31" s="23"/>
      <c r="AD31" s="23"/>
      <c r="AE31" s="23"/>
      <c r="AF31" s="23"/>
      <c r="AG31" s="23"/>
      <c r="AH31" s="23"/>
      <c r="AI31" s="23"/>
      <c r="AJ31" s="23"/>
      <c r="AK31" s="23"/>
      <c r="AL31" s="23"/>
      <c r="AM31" s="23"/>
      <c r="AN31" s="23"/>
      <c r="AO31" s="23"/>
      <c r="AP31" s="23"/>
      <c r="AQ31" s="23"/>
      <c r="AR31" s="23"/>
      <c r="AS31" s="23"/>
      <c r="AT31" s="23"/>
      <c r="AU31" s="23"/>
      <c r="AV31" s="23"/>
      <c r="AW31" s="23"/>
      <c r="AX31" s="23"/>
      <c r="AY31" s="23"/>
      <c r="AZ31" s="23"/>
      <c r="BA31" s="23"/>
      <c r="BB31" s="23"/>
      <c r="BC31" s="23"/>
      <c r="BD31" s="23"/>
      <c r="BE31" s="23"/>
      <c r="BF31" s="23"/>
    </row>
    <row r="32" spans="1:58" ht="15" customHeight="1">
      <c r="A32" s="137" t="s">
        <v>3</v>
      </c>
      <c r="B32" s="247"/>
      <c r="C32" s="247"/>
      <c r="D32" s="232">
        <v>0.75780000000000003</v>
      </c>
      <c r="E32" s="235">
        <v>20</v>
      </c>
      <c r="F32" s="215"/>
      <c r="G32" s="70">
        <f ca="1">IF(D32&gt;0,W32+X32*E10+Y32*E32+Z32*E32*D32+AA32*D32,0)</f>
        <v>0.77347163683147913</v>
      </c>
      <c r="H32" s="70">
        <f>Modèles!D$32</f>
        <v>0.71027415735971011</v>
      </c>
      <c r="I32" s="241">
        <f ca="1">-0.5*LN(1+(G32/H32-1/Modèles!$D$28)/(1-G32))</f>
        <v>0.33571224634197638</v>
      </c>
      <c r="J32" s="244">
        <f ca="1">1-(1+EXP(2*(I32+IF(Introduction!D$12="45q15",Modèles!$C$24,Modèles!$C$27))))/(1+EXP(2*(I32+Modèles!$C$33)))</f>
        <v>0.34643130295225832</v>
      </c>
      <c r="K32" s="238">
        <f ca="1">T32</f>
        <v>1972.3659774429052</v>
      </c>
      <c r="L32" s="131"/>
      <c r="M32" s="80" t="s">
        <v>3</v>
      </c>
      <c r="N32" s="120">
        <v>27.5</v>
      </c>
      <c r="O32" s="124">
        <f>D32</f>
        <v>0.75780000000000003</v>
      </c>
      <c r="P32" s="138">
        <f ca="1">(80-E32-E9)/(80-E9)</f>
        <v>0.56233720313970981</v>
      </c>
      <c r="Q32" s="70">
        <f ca="1">LN(O32/P32)/3</f>
        <v>9.943927434517319E-2</v>
      </c>
      <c r="R32" s="67">
        <f>E32/2</f>
        <v>10</v>
      </c>
      <c r="S32" s="82">
        <f ca="1">(N32-E32)+R32*(1-Q32)</f>
        <v>16.505607256548267</v>
      </c>
      <c r="T32" s="67">
        <f ca="1">$T$15-S32</f>
        <v>1972.3659774429052</v>
      </c>
      <c r="U32" s="126"/>
      <c r="V32" s="31">
        <v>30</v>
      </c>
      <c r="W32" s="127">
        <v>-1.2719</v>
      </c>
      <c r="X32" s="128">
        <v>1.06E-2</v>
      </c>
      <c r="Y32" s="128">
        <v>4.48E-2</v>
      </c>
      <c r="Z32" s="128">
        <v>-4.0070000000000001E-2</v>
      </c>
      <c r="AA32" s="127">
        <v>1.8383</v>
      </c>
      <c r="AB32" s="23"/>
      <c r="AC32" s="23"/>
      <c r="AD32" s="23"/>
      <c r="AE32" s="23"/>
      <c r="AF32" s="23"/>
      <c r="AG32" s="23"/>
      <c r="AH32" s="23"/>
      <c r="AI32" s="23"/>
      <c r="AJ32" s="23"/>
      <c r="AK32" s="23"/>
      <c r="AL32" s="23"/>
      <c r="AM32" s="23"/>
      <c r="AN32" s="23"/>
      <c r="AO32" s="23"/>
      <c r="AP32" s="23"/>
      <c r="AQ32" s="23"/>
      <c r="AR32" s="23"/>
      <c r="AS32" s="23"/>
      <c r="AT32" s="23"/>
      <c r="AU32" s="23"/>
      <c r="AV32" s="23"/>
      <c r="AW32" s="23"/>
      <c r="AX32" s="23"/>
      <c r="AY32" s="23"/>
      <c r="AZ32" s="23"/>
      <c r="BA32" s="23"/>
      <c r="BB32" s="23"/>
      <c r="BC32" s="23"/>
      <c r="BD32" s="23"/>
      <c r="BE32" s="23"/>
      <c r="BF32" s="23"/>
    </row>
    <row r="33" spans="1:60" ht="15" customHeight="1">
      <c r="A33" s="137" t="s">
        <v>4</v>
      </c>
      <c r="B33" s="248"/>
      <c r="C33" s="248"/>
      <c r="D33" s="232">
        <v>0.75180000000000002</v>
      </c>
      <c r="E33" s="235">
        <v>19.399999999999999</v>
      </c>
      <c r="F33" s="215"/>
      <c r="G33" s="70">
        <f t="shared" ref="G33:G35" ca="1" si="17">IF(D33&gt;0,W33+X33*E11+Y33*E33+Z33*E33*D33+AA33*D33,0)</f>
        <v>0.76274433351699966</v>
      </c>
      <c r="H33" s="70">
        <f>Modèles!D$32</f>
        <v>0.71027415735971011</v>
      </c>
      <c r="I33" s="241">
        <f ca="1">-0.5*LN(1+(G33/H33-1/Modèles!$D$28)/(1-G33))</f>
        <v>0.37811430971264159</v>
      </c>
      <c r="J33" s="244">
        <f ca="1">1-(1+EXP(2*(I33+IF(Introduction!D$12="45q15",Modèles!$C$24,Modèles!$C$27))))/(1+EXP(2*(I33+Modèles!$C$33)))</f>
        <v>0.36066385993833361</v>
      </c>
      <c r="K33" s="238">
        <f t="shared" ref="K33:K36" ca="1" si="18">T33</f>
        <v>1966.9358168526201</v>
      </c>
      <c r="L33" s="125"/>
      <c r="M33" s="80" t="s">
        <v>4</v>
      </c>
      <c r="N33" s="120">
        <v>32.5</v>
      </c>
      <c r="O33" s="124">
        <f t="shared" ref="O33:O36" si="19">D33</f>
        <v>0.75180000000000002</v>
      </c>
      <c r="P33" s="138">
        <f ca="1">(80-E33-E10)/(80-E10)</f>
        <v>0.57546708704551863</v>
      </c>
      <c r="Q33" s="70">
        <f t="shared" ref="Q33:Q36" ca="1" si="20">LN(O33/P33)/3</f>
        <v>8.9096098264599508E-2</v>
      </c>
      <c r="R33" s="67">
        <f>E33/2</f>
        <v>9.6999999999999993</v>
      </c>
      <c r="S33" s="82">
        <f ca="1">(N33-E33)+R33*(1-Q33)</f>
        <v>21.935767846833386</v>
      </c>
      <c r="T33" s="67">
        <f ca="1">$T$15-S33</f>
        <v>1966.9358168526201</v>
      </c>
      <c r="U33" s="126"/>
      <c r="V33" s="31">
        <v>35</v>
      </c>
      <c r="W33" s="127">
        <v>-1.2977000000000001</v>
      </c>
      <c r="X33" s="128">
        <v>1.068E-2</v>
      </c>
      <c r="Y33" s="128">
        <v>4.6519999999999999E-2</v>
      </c>
      <c r="Z33" s="128">
        <v>-4.1239999999999999E-2</v>
      </c>
      <c r="AA33" s="127">
        <v>1.853</v>
      </c>
      <c r="AB33" s="23"/>
      <c r="AC33" s="23"/>
      <c r="AD33" s="23"/>
      <c r="AE33" s="23"/>
      <c r="AF33" s="23"/>
      <c r="AG33" s="23"/>
      <c r="AH33" s="23"/>
      <c r="AI33" s="23"/>
      <c r="AJ33" s="23"/>
      <c r="AK33" s="23"/>
      <c r="AL33" s="23"/>
      <c r="AM33" s="23"/>
      <c r="AN33" s="23"/>
      <c r="AO33" s="23"/>
      <c r="AP33" s="23"/>
      <c r="AQ33" s="23"/>
      <c r="AR33" s="23"/>
      <c r="AS33" s="23"/>
      <c r="AT33" s="23"/>
      <c r="AU33" s="23"/>
      <c r="AV33" s="23"/>
      <c r="AW33" s="23"/>
      <c r="AX33" s="23"/>
      <c r="AY33" s="23"/>
      <c r="AZ33" s="23"/>
      <c r="BA33" s="23"/>
      <c r="BB33" s="23"/>
      <c r="BC33" s="23"/>
      <c r="BD33" s="23"/>
      <c r="BE33" s="23"/>
      <c r="BF33" s="23"/>
    </row>
    <row r="34" spans="1:60" ht="15" customHeight="1">
      <c r="A34" s="137" t="s">
        <v>5</v>
      </c>
      <c r="B34" s="247"/>
      <c r="C34" s="247"/>
      <c r="D34" s="232">
        <v>0.74739999999999995</v>
      </c>
      <c r="E34" s="235">
        <v>18.5</v>
      </c>
      <c r="F34" s="215"/>
      <c r="G34" s="70">
        <f ca="1">IF(D34&gt;0,W34+X34*E12+Y34*E34+Z34*E34*D34+AA34*D34,0)</f>
        <v>0.74439880368837963</v>
      </c>
      <c r="H34" s="70">
        <f>Modèles!D$32</f>
        <v>0.71027415735971011</v>
      </c>
      <c r="I34" s="241">
        <f ca="1">-0.5*LN(1+(G34/H34-1/Modèles!$D$28)/(1-G34))</f>
        <v>0.45013090376924214</v>
      </c>
      <c r="J34" s="244">
        <f ca="1">1-(1+EXP(2*(I34+IF(Introduction!D$12="45q15",Modèles!$C$24,Modèles!$C$27))))/(1+EXP(2*(I34+Modèles!$C$33)))</f>
        <v>0.38461295547454699</v>
      </c>
      <c r="K34" s="238">
        <f t="shared" ca="1" si="18"/>
        <v>1961.323866362942</v>
      </c>
      <c r="L34" s="125"/>
      <c r="M34" s="80" t="s">
        <v>5</v>
      </c>
      <c r="N34" s="120">
        <v>37.5</v>
      </c>
      <c r="O34" s="124">
        <f t="shared" si="19"/>
        <v>0.74739999999999995</v>
      </c>
      <c r="P34" s="138">
        <f ca="1">(80-E34-E11)/(80-E11)</f>
        <v>0.59516191290423159</v>
      </c>
      <c r="Q34" s="70">
        <f t="shared" ca="1" si="20"/>
        <v>7.5922341998751003E-2</v>
      </c>
      <c r="R34" s="67">
        <f>E34/2</f>
        <v>9.25</v>
      </c>
      <c r="S34" s="82">
        <f ca="1">(N34-E34)+R34*(1-Q34)</f>
        <v>27.547718336511551</v>
      </c>
      <c r="T34" s="67">
        <f ca="1">$T$15-S34</f>
        <v>1961.323866362942</v>
      </c>
      <c r="U34" s="126"/>
      <c r="V34" s="31">
        <v>40</v>
      </c>
      <c r="W34" s="127">
        <v>-1.3203</v>
      </c>
      <c r="X34" s="128">
        <v>1.0699999999999999E-2</v>
      </c>
      <c r="Y34" s="128">
        <v>4.7690000000000003E-2</v>
      </c>
      <c r="Z34" s="128">
        <v>-4.2250000000000003E-2</v>
      </c>
      <c r="AA34" s="127">
        <v>1.8726</v>
      </c>
      <c r="AB34" s="23"/>
      <c r="AC34" s="23"/>
      <c r="AD34" s="23"/>
      <c r="AE34" s="23"/>
      <c r="AF34" s="23"/>
      <c r="AG34" s="23"/>
      <c r="AH34" s="23"/>
      <c r="AI34" s="23"/>
      <c r="AJ34" s="23"/>
      <c r="AK34" s="23"/>
      <c r="AL34" s="23"/>
      <c r="AM34" s="23"/>
      <c r="AN34" s="23"/>
      <c r="AO34" s="23"/>
      <c r="AP34" s="23"/>
      <c r="AQ34" s="23"/>
      <c r="AR34" s="23"/>
      <c r="AS34" s="23"/>
      <c r="AT34" s="23"/>
      <c r="AU34" s="23"/>
      <c r="AV34" s="23"/>
      <c r="AW34" s="23"/>
      <c r="AX34" s="23"/>
      <c r="AY34" s="23"/>
      <c r="AZ34" s="23"/>
      <c r="BA34" s="23"/>
      <c r="BB34" s="23"/>
      <c r="BC34" s="23"/>
      <c r="BD34" s="23"/>
      <c r="BE34" s="23"/>
      <c r="BF34" s="23"/>
    </row>
    <row r="35" spans="1:60" ht="15" customHeight="1">
      <c r="A35" s="137" t="s">
        <v>6</v>
      </c>
      <c r="B35" s="248"/>
      <c r="C35" s="248"/>
      <c r="D35" s="232">
        <v>0.70930000000000004</v>
      </c>
      <c r="E35" s="235">
        <v>18</v>
      </c>
      <c r="F35" s="215"/>
      <c r="G35" s="70">
        <f t="shared" ca="1" si="17"/>
        <v>0.69384696668837975</v>
      </c>
      <c r="H35" s="70">
        <f>Modèles!D$32</f>
        <v>0.71027415735971011</v>
      </c>
      <c r="I35" s="241">
        <f ca="1">-0.5*LN(1+(G35/H35-1/Modèles!$D$28)/(1-G35))</f>
        <v>0.65098614249173048</v>
      </c>
      <c r="J35" s="244">
        <f ca="1">1-(1+EXP(2*(I35+IF(Introduction!D$12="45q15",Modèles!$C$24,Modèles!$C$27))))/(1+EXP(2*(I35+Modèles!$C$33)))</f>
        <v>0.44816152336465598</v>
      </c>
      <c r="K35" s="238">
        <f t="shared" ca="1" si="18"/>
        <v>1955.8432681983886</v>
      </c>
      <c r="L35" s="125"/>
      <c r="M35" s="80" t="s">
        <v>6</v>
      </c>
      <c r="N35" s="120">
        <v>42.5</v>
      </c>
      <c r="O35" s="124">
        <f t="shared" si="19"/>
        <v>0.70930000000000004</v>
      </c>
      <c r="P35" s="138">
        <f ca="1">(80-E35-E12)/(80-E12)</f>
        <v>0.60610348282573889</v>
      </c>
      <c r="Q35" s="70">
        <f t="shared" ca="1" si="20"/>
        <v>5.2409277659450422E-2</v>
      </c>
      <c r="R35" s="67">
        <f>E35/2</f>
        <v>9</v>
      </c>
      <c r="S35" s="82">
        <f ca="1">(N35-E35)+R35*(1-Q35)</f>
        <v>33.02831650106495</v>
      </c>
      <c r="T35" s="67">
        <f ca="1">$T$15-S35</f>
        <v>1955.8432681983886</v>
      </c>
      <c r="U35" s="126"/>
      <c r="V35" s="31">
        <v>45</v>
      </c>
      <c r="W35" s="127">
        <v>-1.3231999999999999</v>
      </c>
      <c r="X35" s="128">
        <v>1.0699999999999999E-2</v>
      </c>
      <c r="Y35" s="128">
        <v>4.7829999999999998E-2</v>
      </c>
      <c r="Z35" s="128">
        <v>-4.2380000000000001E-2</v>
      </c>
      <c r="AA35" s="33">
        <v>1.8753</v>
      </c>
      <c r="AB35" s="23"/>
      <c r="AC35" s="23"/>
      <c r="AD35" s="23"/>
      <c r="AE35" s="23"/>
      <c r="AF35" s="23"/>
      <c r="AG35" s="23"/>
      <c r="AH35" s="23"/>
      <c r="AI35" s="23"/>
      <c r="AJ35" s="23"/>
      <c r="AK35" s="23"/>
      <c r="AL35" s="23"/>
      <c r="AM35" s="23"/>
      <c r="AN35" s="23"/>
      <c r="AO35" s="23"/>
      <c r="AP35" s="23"/>
      <c r="AQ35" s="23"/>
      <c r="AR35" s="23"/>
      <c r="AS35" s="23"/>
      <c r="AT35" s="23"/>
      <c r="AU35" s="23"/>
      <c r="AV35" s="23"/>
      <c r="AW35" s="23"/>
      <c r="AX35" s="23"/>
      <c r="AY35" s="23"/>
      <c r="AZ35" s="23"/>
      <c r="BA35" s="23"/>
      <c r="BB35" s="23"/>
      <c r="BC35" s="23"/>
      <c r="BD35" s="23"/>
      <c r="BE35" s="23"/>
      <c r="BF35" s="23"/>
      <c r="BG35" s="23"/>
      <c r="BH35" s="23"/>
    </row>
    <row r="36" spans="1:60" ht="15" customHeight="1">
      <c r="A36" s="137" t="s">
        <v>7</v>
      </c>
      <c r="B36" s="247"/>
      <c r="C36" s="247"/>
      <c r="D36" s="232">
        <v>0.68100000000000005</v>
      </c>
      <c r="E36" s="235">
        <v>17.5</v>
      </c>
      <c r="F36" s="215"/>
      <c r="G36" s="70">
        <f ca="1">IF(D36&gt;0,W36+X36*E13+Y36*E36+Z36*E36*D36+AA36*D36,0)</f>
        <v>0.65287973868837967</v>
      </c>
      <c r="H36" s="70">
        <f>Modèles!D$32</f>
        <v>0.71027415735971011</v>
      </c>
      <c r="I36" s="241">
        <f ca="1">-0.5*LN(1+(G36/H36-1/Modèles!$D$28)/(1-G36))</f>
        <v>0.82577461911786354</v>
      </c>
      <c r="J36" s="244">
        <f ca="1">1-(1+EXP(2*(I36+IF(Introduction!D$12="45q15",Modèles!$C$24,Modèles!$C$27))))/(1+EXP(2*(I36+Modèles!$C$33)))</f>
        <v>0.49718228564489697</v>
      </c>
      <c r="K36" s="238">
        <f t="shared" ca="1" si="18"/>
        <v>1950.4092271415761</v>
      </c>
      <c r="L36" s="125"/>
      <c r="M36" s="80" t="s">
        <v>7</v>
      </c>
      <c r="N36" s="120">
        <v>47.5</v>
      </c>
      <c r="O36" s="124">
        <f t="shared" si="19"/>
        <v>0.68100000000000005</v>
      </c>
      <c r="P36" s="138">
        <f ca="1">(80-E36-E13)/(80-E13)</f>
        <v>0.61704505274724608</v>
      </c>
      <c r="Q36" s="70">
        <f t="shared" ca="1" si="20"/>
        <v>3.2873421956862721E-2</v>
      </c>
      <c r="R36" s="67">
        <f>E36/2</f>
        <v>8.75</v>
      </c>
      <c r="S36" s="82">
        <f ca="1">(N36-E36)+R36*(1-Q36)</f>
        <v>38.462357557877453</v>
      </c>
      <c r="T36" s="67">
        <f ca="1">$T$15-S36</f>
        <v>1950.4092271415761</v>
      </c>
      <c r="U36" s="126"/>
      <c r="V36" s="31">
        <v>50</v>
      </c>
      <c r="W36" s="127">
        <v>-1.3231999999999999</v>
      </c>
      <c r="X36" s="128">
        <v>1.0699999999999999E-2</v>
      </c>
      <c r="Y36" s="128">
        <v>4.7829999999999998E-2</v>
      </c>
      <c r="Z36" s="128">
        <v>-4.2380000000000001E-2</v>
      </c>
      <c r="AA36" s="33">
        <v>1.8753</v>
      </c>
      <c r="AB36" s="23"/>
      <c r="AC36" s="23"/>
      <c r="AD36" s="23"/>
      <c r="AE36" s="23"/>
      <c r="AF36" s="23"/>
      <c r="AG36" s="23"/>
      <c r="AH36" s="23"/>
      <c r="AI36" s="23"/>
      <c r="AJ36" s="23"/>
      <c r="AK36" s="23"/>
      <c r="AL36" s="23"/>
      <c r="AM36" s="23"/>
      <c r="AN36" s="23"/>
      <c r="AO36" s="23"/>
      <c r="AP36" s="23"/>
      <c r="AQ36" s="23"/>
      <c r="AR36" s="23"/>
      <c r="AS36" s="23"/>
      <c r="AT36" s="23"/>
      <c r="AU36" s="23"/>
      <c r="AV36" s="23"/>
      <c r="AW36" s="23"/>
      <c r="AX36" s="23"/>
      <c r="AY36" s="23"/>
      <c r="AZ36" s="23"/>
      <c r="BA36" s="23"/>
      <c r="BB36" s="23"/>
      <c r="BC36" s="23"/>
      <c r="BD36" s="23"/>
      <c r="BE36" s="23"/>
      <c r="BF36" s="23"/>
      <c r="BG36" s="23"/>
      <c r="BH36" s="23"/>
    </row>
    <row r="37" spans="1:60" ht="15" customHeight="1">
      <c r="A37" s="78"/>
      <c r="B37" s="78"/>
      <c r="C37" s="78"/>
      <c r="D37" s="78"/>
      <c r="E37" s="78"/>
      <c r="F37" s="78"/>
      <c r="G37" s="94"/>
      <c r="H37" s="95"/>
      <c r="I37" s="95"/>
      <c r="J37" s="78"/>
      <c r="K37" s="78"/>
      <c r="L37" s="21"/>
      <c r="M37" s="99"/>
      <c r="N37" s="99"/>
      <c r="O37" s="99"/>
      <c r="P37" s="100"/>
      <c r="Q37" s="79"/>
      <c r="R37" s="79"/>
      <c r="S37" s="79"/>
      <c r="T37" s="78"/>
      <c r="U37" s="9"/>
      <c r="V37" s="79"/>
      <c r="W37" s="78"/>
      <c r="X37" s="78"/>
      <c r="Y37" s="78"/>
      <c r="Z37" s="78"/>
      <c r="AA37" s="78"/>
      <c r="AB37" s="23"/>
      <c r="AC37" s="23"/>
      <c r="AD37" s="23"/>
      <c r="AE37" s="23"/>
      <c r="AF37" s="23"/>
      <c r="AG37" s="23"/>
      <c r="AH37" s="23"/>
      <c r="AI37" s="23"/>
      <c r="AJ37" s="23"/>
      <c r="AK37" s="23"/>
      <c r="AL37" s="23"/>
      <c r="AM37" s="23"/>
      <c r="AN37" s="23"/>
      <c r="AO37" s="23"/>
      <c r="AP37" s="23"/>
      <c r="AQ37" s="23"/>
      <c r="AR37" s="23"/>
      <c r="AS37" s="23"/>
      <c r="AT37" s="23"/>
      <c r="AU37" s="23"/>
      <c r="AV37" s="23"/>
      <c r="AW37" s="23"/>
      <c r="AX37" s="23"/>
      <c r="AY37" s="23"/>
      <c r="AZ37" s="23"/>
      <c r="BA37" s="23"/>
      <c r="BB37" s="23"/>
      <c r="BC37" s="23"/>
      <c r="BD37" s="23"/>
      <c r="BE37" s="23"/>
      <c r="BF37" s="23"/>
      <c r="BG37" s="23"/>
      <c r="BH37" s="23"/>
    </row>
    <row r="38" spans="1:60" ht="15" customHeight="1">
      <c r="A38" s="71"/>
      <c r="B38" s="71"/>
      <c r="C38" s="71"/>
      <c r="D38" s="71"/>
      <c r="E38" s="71"/>
      <c r="F38" s="71"/>
      <c r="G38" s="71"/>
      <c r="H38" s="23"/>
      <c r="I38" s="23"/>
      <c r="J38" s="71"/>
      <c r="K38" s="87"/>
      <c r="L38" s="71"/>
      <c r="M38" s="71"/>
      <c r="N38" s="1"/>
      <c r="O38" s="1"/>
      <c r="P38" s="9"/>
      <c r="Q38" s="9"/>
      <c r="R38" s="9"/>
      <c r="S38" s="1"/>
      <c r="T38" s="9"/>
      <c r="U38" s="9"/>
      <c r="V38" s="9"/>
      <c r="W38" s="9"/>
      <c r="X38" s="9"/>
      <c r="Y38" s="9"/>
      <c r="Z38" s="9"/>
      <c r="AA38" s="9"/>
      <c r="AB38" s="9"/>
      <c r="AC38" s="23"/>
      <c r="AD38" s="23"/>
      <c r="AE38" s="23"/>
      <c r="AF38" s="23"/>
      <c r="AG38" s="23"/>
      <c r="AH38" s="23"/>
      <c r="AI38" s="23"/>
      <c r="AJ38" s="23"/>
      <c r="AK38" s="23"/>
      <c r="AL38" s="23"/>
      <c r="AM38" s="23"/>
      <c r="AN38" s="23"/>
      <c r="AO38" s="23"/>
      <c r="AP38" s="23"/>
      <c r="AQ38" s="23"/>
      <c r="AR38" s="23"/>
      <c r="AS38" s="23"/>
      <c r="AT38" s="23"/>
      <c r="AU38" s="23"/>
      <c r="AV38" s="23"/>
      <c r="AW38" s="23"/>
      <c r="AX38" s="23"/>
      <c r="AY38" s="23"/>
      <c r="AZ38" s="23"/>
      <c r="BA38" s="23"/>
      <c r="BB38" s="23"/>
      <c r="BC38" s="23"/>
      <c r="BD38" s="23"/>
      <c r="BE38" s="23"/>
      <c r="BF38" s="23"/>
      <c r="BG38" s="23"/>
      <c r="BH38" s="23"/>
    </row>
    <row r="39" spans="1:60" ht="15" customHeight="1">
      <c r="A39" s="22" t="s">
        <v>82</v>
      </c>
      <c r="B39" s="25"/>
      <c r="C39" s="25"/>
      <c r="D39" s="25"/>
      <c r="E39" s="25"/>
      <c r="F39" s="25"/>
      <c r="G39" s="171"/>
      <c r="L39" s="5"/>
      <c r="M39" s="5"/>
      <c r="N39" s="1"/>
      <c r="O39" s="1"/>
      <c r="P39" s="9"/>
      <c r="Q39" s="9"/>
      <c r="R39" s="9"/>
      <c r="S39" s="1"/>
      <c r="T39" s="9"/>
      <c r="U39" s="9"/>
      <c r="V39" s="9"/>
      <c r="W39" s="9"/>
      <c r="X39" s="9"/>
      <c r="Y39" s="9"/>
      <c r="Z39" s="9"/>
      <c r="AA39" s="9"/>
      <c r="AB39" s="9"/>
      <c r="AC39" s="23"/>
      <c r="AD39" s="23"/>
      <c r="AE39" s="23"/>
      <c r="AF39" s="23"/>
      <c r="AG39" s="23"/>
      <c r="AH39" s="23"/>
      <c r="AI39" s="23"/>
      <c r="AJ39" s="23"/>
      <c r="AK39" s="23"/>
      <c r="AL39" s="23"/>
      <c r="AM39" s="23"/>
      <c r="AN39" s="23"/>
      <c r="AO39" s="23"/>
      <c r="AP39" s="23"/>
      <c r="AQ39" s="23"/>
      <c r="AR39" s="23"/>
      <c r="AS39" s="23"/>
      <c r="AT39" s="23"/>
      <c r="AU39" s="23"/>
      <c r="AV39" s="23"/>
      <c r="AW39" s="23"/>
      <c r="AX39" s="23"/>
      <c r="AY39" s="23"/>
      <c r="AZ39" s="23"/>
      <c r="BA39" s="23"/>
      <c r="BB39" s="23"/>
      <c r="BC39" s="23"/>
      <c r="BD39" s="23"/>
      <c r="BE39" s="23"/>
      <c r="BF39" s="23"/>
      <c r="BG39" s="23"/>
      <c r="BH39" s="23"/>
    </row>
    <row r="40" spans="1:60" ht="15" customHeight="1">
      <c r="B40" s="173" t="s">
        <v>55</v>
      </c>
      <c r="C40" s="174">
        <f>'Orphelins de mère'!$C$56</f>
        <v>26.003407155025553</v>
      </c>
      <c r="D40" s="172"/>
      <c r="E40" s="172"/>
      <c r="F40" s="172"/>
      <c r="G40" s="171"/>
      <c r="AC40" s="23"/>
      <c r="AD40" s="23"/>
      <c r="AE40" s="23"/>
      <c r="AF40" s="23"/>
      <c r="AG40" s="23"/>
      <c r="AH40" s="23"/>
      <c r="AI40" s="23"/>
      <c r="AJ40" s="23"/>
      <c r="AK40" s="23"/>
      <c r="AL40" s="23"/>
      <c r="AM40" s="23"/>
      <c r="AN40" s="23"/>
      <c r="AO40" s="23"/>
      <c r="AP40" s="23"/>
      <c r="AQ40" s="23"/>
      <c r="AR40" s="23"/>
      <c r="AS40" s="23"/>
      <c r="AT40" s="23"/>
      <c r="AU40" s="23"/>
      <c r="AV40" s="23"/>
      <c r="AW40" s="23"/>
      <c r="AX40" s="23"/>
      <c r="AY40" s="23"/>
      <c r="AZ40" s="23"/>
      <c r="BA40" s="23"/>
      <c r="BB40" s="23"/>
      <c r="BC40" s="23"/>
      <c r="BD40" s="23"/>
      <c r="BE40" s="23"/>
      <c r="BF40" s="23"/>
      <c r="BG40" s="23"/>
      <c r="BH40" s="23"/>
    </row>
    <row r="41" spans="1:60" ht="15" customHeight="1" thickBot="1">
      <c r="B41" s="175" t="s">
        <v>56</v>
      </c>
      <c r="C41" s="174">
        <f ca="1">D62-E62</f>
        <v>8.2993114139819006</v>
      </c>
      <c r="D41" s="176"/>
      <c r="E41" s="176"/>
      <c r="F41" s="176"/>
      <c r="G41" s="171"/>
      <c r="AC41" s="23"/>
      <c r="AD41" s="23"/>
      <c r="AE41" s="23"/>
      <c r="AF41" s="23"/>
      <c r="AG41" s="23"/>
      <c r="AH41" s="23"/>
      <c r="AI41" s="23"/>
      <c r="AJ41" s="23"/>
      <c r="AK41" s="23"/>
      <c r="AL41" s="23"/>
      <c r="AM41" s="23"/>
      <c r="AN41" s="23"/>
      <c r="AO41" s="23"/>
      <c r="AP41" s="23"/>
      <c r="AQ41" s="23"/>
      <c r="AR41" s="23"/>
      <c r="AS41" s="23"/>
      <c r="AT41" s="23"/>
      <c r="AU41" s="23"/>
      <c r="AV41" s="23"/>
      <c r="AW41" s="23"/>
      <c r="AX41" s="23"/>
      <c r="AY41" s="23"/>
      <c r="AZ41" s="23"/>
      <c r="BA41" s="23"/>
      <c r="BB41" s="23"/>
      <c r="BC41" s="23"/>
      <c r="BD41" s="23"/>
      <c r="BE41" s="23"/>
      <c r="BF41" s="23"/>
      <c r="BG41" s="23"/>
      <c r="BH41" s="23"/>
    </row>
    <row r="42" spans="1:60" ht="15" customHeight="1" thickBot="1">
      <c r="B42" s="249" t="s">
        <v>84</v>
      </c>
      <c r="C42" s="243">
        <f ca="1">C40+C41</f>
        <v>34.302718569007453</v>
      </c>
      <c r="D42" s="172"/>
      <c r="E42" s="172"/>
      <c r="F42" s="172"/>
      <c r="G42" s="177"/>
      <c r="AC42" s="23"/>
      <c r="AD42" s="23"/>
      <c r="AE42" s="23"/>
      <c r="AF42" s="23"/>
      <c r="AG42" s="23"/>
      <c r="AH42" s="23"/>
      <c r="AI42" s="23"/>
      <c r="AJ42" s="23"/>
      <c r="AK42" s="23"/>
      <c r="AL42" s="23"/>
      <c r="AM42" s="23"/>
      <c r="AN42" s="23"/>
      <c r="AO42" s="23"/>
      <c r="AP42" s="23"/>
      <c r="AQ42" s="23"/>
      <c r="AR42" s="23"/>
      <c r="AS42" s="23"/>
      <c r="AT42" s="23"/>
      <c r="AU42" s="23"/>
      <c r="AV42" s="23"/>
      <c r="AW42" s="23"/>
      <c r="AX42" s="23"/>
      <c r="AY42" s="23"/>
      <c r="AZ42" s="23"/>
      <c r="BA42" s="23"/>
      <c r="BB42" s="23"/>
      <c r="BC42" s="23"/>
      <c r="BD42" s="23"/>
      <c r="BE42" s="23"/>
      <c r="BF42" s="23"/>
      <c r="BG42" s="23"/>
      <c r="BH42" s="23"/>
    </row>
    <row r="43" spans="1:60" ht="15" customHeight="1">
      <c r="B43" s="172"/>
      <c r="C43" s="172"/>
      <c r="D43" s="172"/>
      <c r="E43" s="172"/>
      <c r="F43" s="172"/>
      <c r="G43" s="25"/>
      <c r="AC43" s="23"/>
      <c r="AD43" s="23"/>
      <c r="AE43" s="23"/>
      <c r="AF43" s="23"/>
      <c r="AG43" s="23"/>
      <c r="AH43" s="23"/>
      <c r="AI43" s="23"/>
      <c r="AJ43" s="23"/>
      <c r="AK43" s="23"/>
      <c r="AL43" s="23"/>
      <c r="AM43" s="23"/>
      <c r="AN43" s="23"/>
      <c r="AO43" s="23"/>
      <c r="AP43" s="23"/>
      <c r="AQ43" s="23"/>
      <c r="AR43" s="23"/>
      <c r="AS43" s="23"/>
      <c r="AT43" s="23"/>
      <c r="AU43" s="23"/>
      <c r="AV43" s="23"/>
      <c r="AW43" s="23"/>
      <c r="AX43" s="23"/>
      <c r="AY43" s="23"/>
      <c r="AZ43" s="23"/>
      <c r="BA43" s="23"/>
      <c r="BB43" s="23"/>
      <c r="BC43" s="23"/>
      <c r="BD43" s="23"/>
      <c r="BE43" s="23"/>
      <c r="BF43" s="23"/>
      <c r="BG43" s="23"/>
      <c r="BH43" s="23"/>
    </row>
    <row r="44" spans="1:60" ht="15" customHeight="1">
      <c r="A44" s="22" t="s">
        <v>81</v>
      </c>
      <c r="B44" s="172"/>
      <c r="C44" s="172"/>
      <c r="D44" s="172"/>
      <c r="E44" s="172"/>
      <c r="F44" s="172"/>
      <c r="G44" s="172"/>
      <c r="L44" s="23"/>
      <c r="M44" s="23"/>
      <c r="N44" s="23"/>
      <c r="O44" s="23"/>
      <c r="P44" s="23"/>
      <c r="Q44" s="23"/>
      <c r="R44" s="23"/>
      <c r="S44" s="23"/>
      <c r="T44" s="23"/>
      <c r="U44" s="23"/>
      <c r="V44" s="23"/>
      <c r="W44" s="23"/>
      <c r="X44" s="23"/>
      <c r="Y44" s="23"/>
      <c r="Z44" s="23"/>
      <c r="AA44" s="23"/>
      <c r="AB44" s="23"/>
      <c r="AC44" s="23"/>
      <c r="AD44" s="23"/>
      <c r="AE44" s="23"/>
      <c r="AF44" s="23"/>
      <c r="AG44" s="23"/>
      <c r="AH44" s="23"/>
      <c r="AI44" s="23"/>
      <c r="AJ44" s="23"/>
      <c r="AK44" s="23"/>
      <c r="AL44" s="23"/>
      <c r="AM44" s="23"/>
      <c r="AN44" s="23"/>
      <c r="AO44" s="23"/>
      <c r="AP44" s="23"/>
      <c r="AQ44" s="23"/>
      <c r="AR44" s="23"/>
      <c r="AS44" s="23"/>
      <c r="AT44" s="23"/>
      <c r="AU44" s="23"/>
      <c r="AV44" s="23"/>
      <c r="AW44" s="23"/>
      <c r="AX44" s="23"/>
      <c r="AY44" s="23"/>
      <c r="AZ44" s="23"/>
      <c r="BA44" s="23"/>
      <c r="BB44" s="23"/>
      <c r="BC44" s="23"/>
      <c r="BD44" s="23"/>
      <c r="BE44" s="23"/>
      <c r="BF44" s="23"/>
      <c r="BG44" s="23"/>
      <c r="BH44" s="23"/>
    </row>
    <row r="45" spans="1:60" ht="15" customHeight="1">
      <c r="A45" s="286" t="s">
        <v>74</v>
      </c>
      <c r="B45" s="286" t="s">
        <v>57</v>
      </c>
      <c r="C45" s="286" t="s">
        <v>58</v>
      </c>
      <c r="D45" s="289" t="s">
        <v>59</v>
      </c>
      <c r="E45" s="289" t="s">
        <v>60</v>
      </c>
      <c r="F45" s="210"/>
      <c r="L45" s="23"/>
      <c r="M45" s="23"/>
      <c r="N45" s="23"/>
      <c r="O45" s="23"/>
      <c r="P45" s="23"/>
      <c r="Q45" s="23"/>
      <c r="R45" s="23"/>
      <c r="S45" s="23"/>
      <c r="T45" s="23"/>
      <c r="U45" s="23"/>
      <c r="V45" s="23"/>
      <c r="W45" s="23"/>
      <c r="X45" s="23"/>
      <c r="Y45" s="23"/>
      <c r="Z45" s="23"/>
      <c r="AA45" s="23"/>
      <c r="AB45" s="23"/>
      <c r="AC45" s="23"/>
      <c r="AD45" s="23"/>
      <c r="AE45" s="23"/>
      <c r="AF45" s="23"/>
      <c r="AG45" s="23"/>
      <c r="AH45" s="23"/>
      <c r="AI45" s="23"/>
      <c r="AJ45" s="23"/>
      <c r="AK45" s="23"/>
      <c r="AL45" s="23"/>
      <c r="AM45" s="23"/>
      <c r="AN45" s="23"/>
      <c r="AO45" s="23"/>
      <c r="AP45" s="23"/>
      <c r="AQ45" s="23"/>
      <c r="AR45" s="23"/>
      <c r="AS45" s="23"/>
      <c r="AT45" s="23"/>
      <c r="AU45" s="23"/>
      <c r="AV45" s="23"/>
      <c r="AW45" s="23"/>
      <c r="AX45" s="23"/>
      <c r="AY45" s="23"/>
      <c r="AZ45" s="23"/>
      <c r="BA45" s="23"/>
      <c r="BB45" s="23"/>
      <c r="BC45" s="23"/>
      <c r="BD45" s="23"/>
      <c r="BE45" s="23"/>
      <c r="BF45" s="23"/>
      <c r="BG45" s="23"/>
      <c r="BH45" s="23"/>
    </row>
    <row r="46" spans="1:60" ht="15" customHeight="1">
      <c r="A46" s="291" t="s">
        <v>73</v>
      </c>
      <c r="B46" s="292"/>
      <c r="C46" s="291"/>
      <c r="D46" s="290"/>
      <c r="E46" s="290"/>
      <c r="F46" s="211"/>
      <c r="L46" s="23"/>
      <c r="M46" s="23"/>
      <c r="N46" s="23"/>
      <c r="O46" s="23"/>
      <c r="P46" s="23"/>
      <c r="Q46" s="23"/>
      <c r="R46" s="23"/>
      <c r="S46" s="23"/>
      <c r="T46" s="23"/>
      <c r="U46" s="23"/>
      <c r="V46" s="23"/>
      <c r="W46" s="23"/>
      <c r="X46" s="23"/>
      <c r="Y46" s="23"/>
      <c r="Z46" s="23"/>
      <c r="AA46" s="23"/>
      <c r="AB46" s="23"/>
      <c r="AC46" s="23"/>
      <c r="AD46" s="23"/>
      <c r="AE46" s="23"/>
      <c r="AF46" s="23"/>
      <c r="AG46" s="23"/>
      <c r="AH46" s="23"/>
      <c r="AI46" s="23"/>
      <c r="AJ46" s="23"/>
      <c r="AK46" s="23"/>
      <c r="AL46" s="23"/>
      <c r="AM46" s="23"/>
      <c r="AN46" s="23"/>
      <c r="AO46" s="23"/>
      <c r="AP46" s="23"/>
      <c r="AQ46" s="23"/>
      <c r="AR46" s="23"/>
      <c r="AS46" s="23"/>
      <c r="AT46" s="23"/>
      <c r="AU46" s="23"/>
      <c r="AV46" s="23"/>
      <c r="AW46" s="23"/>
      <c r="AX46" s="23"/>
      <c r="AY46" s="23"/>
      <c r="AZ46" s="23"/>
      <c r="BA46" s="23"/>
      <c r="BB46" s="23"/>
      <c r="BC46" s="23"/>
      <c r="BD46" s="23"/>
      <c r="BE46" s="23"/>
      <c r="BF46" s="23"/>
      <c r="BG46" s="23"/>
      <c r="BH46" s="23"/>
    </row>
    <row r="47" spans="1:60" ht="15" customHeight="1">
      <c r="A47" s="202" t="s">
        <v>14</v>
      </c>
      <c r="B47" s="245">
        <v>1000</v>
      </c>
      <c r="C47" s="245">
        <v>5650</v>
      </c>
      <c r="D47" s="178">
        <f>SUM(B$47:B47)/B$62</f>
        <v>3.4035369556042642E-4</v>
      </c>
      <c r="E47" s="178">
        <f>SUM(C$47:C47)/C$62</f>
        <v>1.9039634115519694E-3</v>
      </c>
      <c r="F47" s="178"/>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c r="AN47" s="23"/>
      <c r="AO47" s="23"/>
      <c r="AP47" s="23"/>
      <c r="AQ47" s="23"/>
      <c r="AR47" s="23"/>
      <c r="AS47" s="23"/>
      <c r="AT47" s="23"/>
      <c r="AU47" s="23"/>
      <c r="AV47" s="23"/>
      <c r="AW47" s="23"/>
      <c r="AX47" s="23"/>
      <c r="AY47" s="23"/>
      <c r="AZ47" s="23"/>
      <c r="BA47" s="23"/>
      <c r="BB47" s="23"/>
      <c r="BC47" s="23"/>
      <c r="BD47" s="23"/>
      <c r="BE47" s="23"/>
      <c r="BF47" s="23"/>
      <c r="BG47" s="23"/>
      <c r="BH47" s="23"/>
    </row>
    <row r="48" spans="1:60" ht="15" customHeight="1">
      <c r="A48" s="202" t="s">
        <v>1</v>
      </c>
      <c r="B48" s="245">
        <v>15000</v>
      </c>
      <c r="C48" s="245">
        <v>209864</v>
      </c>
      <c r="D48" s="178">
        <f>SUM(B$47:B48)/B$62</f>
        <v>5.4456591289668227E-3</v>
      </c>
      <c r="E48" s="178">
        <f>SUM(C$47:C48)/C$62</f>
        <v>7.262491516410817E-2</v>
      </c>
      <c r="F48" s="178"/>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c r="AN48" s="23"/>
      <c r="AO48" s="23"/>
      <c r="AP48" s="23"/>
      <c r="AQ48" s="23"/>
      <c r="AR48" s="23"/>
      <c r="AS48" s="23"/>
      <c r="AT48" s="23"/>
      <c r="AU48" s="23"/>
      <c r="AV48" s="23"/>
      <c r="AW48" s="23"/>
      <c r="AX48" s="23"/>
      <c r="AY48" s="23"/>
      <c r="AZ48" s="23"/>
      <c r="BA48" s="23"/>
      <c r="BB48" s="23"/>
      <c r="BC48" s="23"/>
      <c r="BD48" s="23"/>
      <c r="BE48" s="23"/>
      <c r="BF48" s="23"/>
      <c r="BG48" s="23"/>
      <c r="BH48" s="23"/>
    </row>
    <row r="49" spans="1:60" ht="15" customHeight="1">
      <c r="A49" s="202" t="s">
        <v>2</v>
      </c>
      <c r="B49" s="245">
        <v>120000</v>
      </c>
      <c r="C49" s="245">
        <v>556948</v>
      </c>
      <c r="D49" s="178">
        <f>SUM(B$47:B49)/B$62</f>
        <v>4.6288102596217989E-2</v>
      </c>
      <c r="E49" s="178">
        <f>SUM(C$47:C49)/C$62</f>
        <v>0.26030785571933762</v>
      </c>
      <c r="F49" s="178"/>
      <c r="L49" s="23"/>
      <c r="M49" s="23"/>
      <c r="N49" s="23"/>
      <c r="O49" s="23"/>
      <c r="P49" s="23"/>
      <c r="Q49" s="23"/>
      <c r="R49" s="23"/>
      <c r="S49" s="23"/>
      <c r="T49" s="23"/>
      <c r="U49" s="23"/>
      <c r="V49" s="23"/>
      <c r="W49" s="23"/>
      <c r="X49" s="23"/>
      <c r="Y49" s="23"/>
      <c r="Z49" s="23"/>
      <c r="AA49" s="23"/>
      <c r="AB49" s="23"/>
      <c r="AC49" s="23"/>
      <c r="AD49" s="23"/>
      <c r="AE49" s="23"/>
      <c r="AF49" s="23"/>
      <c r="AG49" s="23"/>
      <c r="AH49" s="23"/>
      <c r="AI49" s="23"/>
      <c r="AJ49" s="23"/>
      <c r="AK49" s="23"/>
      <c r="AL49" s="23"/>
      <c r="AM49" s="23"/>
      <c r="AN49" s="23"/>
      <c r="AO49" s="23"/>
      <c r="AP49" s="23"/>
      <c r="AQ49" s="23"/>
      <c r="AR49" s="23"/>
      <c r="AS49" s="23"/>
      <c r="AT49" s="23"/>
      <c r="AU49" s="23"/>
      <c r="AV49" s="23"/>
      <c r="AW49" s="23"/>
      <c r="AX49" s="23"/>
      <c r="AY49" s="23"/>
      <c r="AZ49" s="23"/>
      <c r="BA49" s="23"/>
      <c r="BB49" s="23"/>
      <c r="BC49" s="23"/>
      <c r="BD49" s="23"/>
      <c r="BE49" s="23"/>
      <c r="BF49" s="23"/>
      <c r="BG49" s="23"/>
      <c r="BH49" s="23"/>
    </row>
    <row r="50" spans="1:60" ht="12.75">
      <c r="A50" s="202" t="s">
        <v>3</v>
      </c>
      <c r="B50" s="245">
        <v>350000</v>
      </c>
      <c r="C50" s="245">
        <v>541418</v>
      </c>
      <c r="D50" s="178">
        <f>SUM(B$47:B50)/B$62</f>
        <v>0.16541189604236722</v>
      </c>
      <c r="E50" s="178">
        <f>SUM(C$47:C50)/C$62</f>
        <v>0.44275742427785869</v>
      </c>
      <c r="F50" s="178"/>
      <c r="L50" s="111"/>
      <c r="M50" s="23"/>
      <c r="N50" s="23"/>
      <c r="O50" s="23"/>
      <c r="P50" s="23"/>
      <c r="Q50" s="23"/>
      <c r="R50" s="23"/>
      <c r="S50" s="23"/>
      <c r="T50" s="23"/>
      <c r="U50" s="23"/>
      <c r="V50" s="23"/>
      <c r="W50" s="23"/>
      <c r="X50" s="23"/>
      <c r="Y50" s="23"/>
      <c r="Z50" s="23"/>
      <c r="AA50" s="23"/>
      <c r="AB50" s="23"/>
      <c r="AC50" s="23"/>
      <c r="AD50" s="23"/>
      <c r="AE50" s="23"/>
      <c r="AF50" s="23"/>
      <c r="AG50" s="23"/>
      <c r="AH50" s="23"/>
      <c r="AI50" s="23"/>
      <c r="AJ50" s="23"/>
      <c r="AK50" s="23"/>
      <c r="AL50" s="23"/>
      <c r="AM50" s="23"/>
      <c r="AN50" s="23"/>
      <c r="AO50" s="23"/>
      <c r="AP50" s="23"/>
      <c r="AQ50" s="23"/>
      <c r="AR50" s="23"/>
      <c r="AS50" s="23"/>
      <c r="AT50" s="23"/>
      <c r="AU50" s="23"/>
      <c r="AV50" s="23"/>
      <c r="AW50" s="23"/>
      <c r="AX50" s="23"/>
      <c r="AY50" s="23"/>
      <c r="AZ50" s="23"/>
      <c r="BA50" s="23"/>
      <c r="BB50" s="23"/>
      <c r="BC50" s="23"/>
      <c r="BD50" s="23"/>
      <c r="BE50" s="23"/>
      <c r="BF50" s="23"/>
      <c r="BG50" s="23"/>
      <c r="BH50" s="23"/>
    </row>
    <row r="51" spans="1:60" ht="12.75">
      <c r="A51" s="202" t="s">
        <v>4</v>
      </c>
      <c r="B51" s="245">
        <v>450000</v>
      </c>
      <c r="C51" s="245">
        <v>393237</v>
      </c>
      <c r="D51" s="178">
        <f>SUM(B$47:B51)/B$62</f>
        <v>0.31857105904455912</v>
      </c>
      <c r="E51" s="178">
        <f>SUM(C$47:C51)/C$62</f>
        <v>0.57527226676785193</v>
      </c>
      <c r="F51" s="178"/>
      <c r="L51" s="23"/>
      <c r="M51" s="23"/>
      <c r="N51" s="23"/>
      <c r="O51" s="23"/>
      <c r="P51" s="23"/>
      <c r="Q51" s="23"/>
      <c r="R51" s="23"/>
      <c r="S51" s="23"/>
      <c r="T51" s="23"/>
      <c r="U51" s="23"/>
      <c r="V51" s="23"/>
      <c r="W51" s="23"/>
      <c r="X51" s="23"/>
      <c r="Y51" s="23"/>
      <c r="Z51" s="23"/>
      <c r="AA51" s="23"/>
      <c r="AB51" s="23"/>
      <c r="AC51" s="23"/>
      <c r="AD51" s="23"/>
      <c r="AE51" s="23"/>
      <c r="AF51" s="23"/>
      <c r="AG51" s="23"/>
      <c r="AH51" s="23"/>
      <c r="AI51" s="23"/>
      <c r="AJ51" s="23"/>
      <c r="AK51" s="23"/>
      <c r="AL51" s="23"/>
      <c r="AM51" s="23"/>
      <c r="AN51" s="23"/>
      <c r="AO51" s="23"/>
      <c r="AP51" s="23"/>
      <c r="AQ51" s="23"/>
      <c r="AR51" s="23"/>
      <c r="AS51" s="23"/>
      <c r="AT51" s="23"/>
      <c r="AU51" s="23"/>
      <c r="AV51" s="23"/>
      <c r="AW51" s="23"/>
      <c r="AX51" s="23"/>
      <c r="AY51" s="23"/>
      <c r="AZ51" s="23"/>
      <c r="BA51" s="23"/>
      <c r="BB51" s="23"/>
      <c r="BC51" s="23"/>
      <c r="BD51" s="23"/>
      <c r="BE51" s="23"/>
      <c r="BF51" s="23"/>
      <c r="BG51" s="23"/>
      <c r="BH51" s="23"/>
    </row>
    <row r="52" spans="1:60" ht="12.75">
      <c r="A52" s="202" t="s">
        <v>5</v>
      </c>
      <c r="B52" s="245">
        <v>500000</v>
      </c>
      <c r="C52" s="245">
        <v>312375</v>
      </c>
      <c r="D52" s="178">
        <f>SUM(B$47:B52)/B$62</f>
        <v>0.48874790682477232</v>
      </c>
      <c r="E52" s="178">
        <f>SUM(C$47:C52)/C$62</f>
        <v>0.68053785449945303</v>
      </c>
      <c r="F52" s="178"/>
      <c r="L52" s="23"/>
      <c r="M52" s="23"/>
      <c r="N52" s="23"/>
      <c r="O52" s="23"/>
      <c r="P52" s="23"/>
      <c r="Q52" s="23"/>
      <c r="R52" s="23"/>
      <c r="S52" s="23"/>
      <c r="T52" s="23"/>
      <c r="U52" s="23"/>
      <c r="V52" s="23"/>
      <c r="W52" s="23"/>
      <c r="X52" s="23"/>
      <c r="Y52" s="23"/>
      <c r="Z52" s="23"/>
      <c r="AA52" s="23"/>
      <c r="AB52" s="23"/>
      <c r="AC52" s="23"/>
      <c r="AD52" s="23"/>
      <c r="AE52" s="23"/>
      <c r="AF52" s="23"/>
      <c r="AG52" s="23"/>
      <c r="AH52" s="23"/>
      <c r="AI52" s="23"/>
      <c r="AJ52" s="23"/>
      <c r="AK52" s="23"/>
      <c r="AL52" s="23"/>
      <c r="AM52" s="23"/>
      <c r="AN52" s="23"/>
      <c r="AO52" s="23"/>
      <c r="AP52" s="23"/>
      <c r="AQ52" s="23"/>
      <c r="AR52" s="23"/>
      <c r="AS52" s="23"/>
      <c r="AT52" s="23"/>
      <c r="AU52" s="23"/>
      <c r="AV52" s="23"/>
      <c r="AW52" s="23"/>
      <c r="AX52" s="23"/>
      <c r="AY52" s="23"/>
      <c r="AZ52" s="23"/>
      <c r="BA52" s="23"/>
      <c r="BB52" s="23"/>
      <c r="BC52" s="23"/>
      <c r="BD52" s="23"/>
      <c r="BE52" s="23"/>
      <c r="BF52" s="23"/>
      <c r="BG52" s="23"/>
      <c r="BH52" s="23"/>
    </row>
    <row r="53" spans="1:60" ht="12.75">
      <c r="A53" s="202" t="s">
        <v>6</v>
      </c>
      <c r="B53" s="245">
        <v>360000</v>
      </c>
      <c r="C53" s="245">
        <v>242151</v>
      </c>
      <c r="D53" s="178">
        <f>SUM(B$47:B53)/B$62</f>
        <v>0.61127523722652577</v>
      </c>
      <c r="E53" s="178">
        <f>SUM(C$47:C53)/C$62</f>
        <v>0.76213903044117359</v>
      </c>
      <c r="F53" s="178"/>
      <c r="L53" s="23"/>
      <c r="M53" s="23"/>
      <c r="N53" s="23"/>
      <c r="O53" s="23"/>
      <c r="P53" s="23"/>
      <c r="Q53" s="23"/>
      <c r="R53" s="23"/>
      <c r="S53" s="23"/>
      <c r="T53" s="23"/>
      <c r="U53" s="23"/>
      <c r="V53" s="23"/>
      <c r="W53" s="23"/>
      <c r="X53" s="23"/>
      <c r="Y53" s="23"/>
      <c r="Z53" s="23"/>
      <c r="AA53" s="23"/>
      <c r="AB53" s="23"/>
      <c r="AC53" s="23"/>
      <c r="AD53" s="23"/>
      <c r="AE53" s="23"/>
      <c r="AF53" s="23"/>
      <c r="AG53" s="23"/>
      <c r="AH53" s="23"/>
      <c r="AI53" s="23"/>
      <c r="AJ53" s="23"/>
      <c r="AK53" s="23"/>
      <c r="AL53" s="23"/>
      <c r="AM53" s="23"/>
      <c r="AN53" s="23"/>
      <c r="AO53" s="23"/>
      <c r="AP53" s="23"/>
      <c r="AQ53" s="23"/>
      <c r="AR53" s="23"/>
      <c r="AS53" s="23"/>
      <c r="AT53" s="23"/>
      <c r="AU53" s="23"/>
      <c r="AV53" s="23"/>
      <c r="AW53" s="23"/>
      <c r="AX53" s="23"/>
      <c r="AY53" s="23"/>
      <c r="AZ53" s="23"/>
      <c r="BA53" s="23"/>
      <c r="BB53" s="23"/>
      <c r="BC53" s="23"/>
      <c r="BD53" s="23"/>
      <c r="BE53" s="23"/>
      <c r="BF53" s="23"/>
      <c r="BG53" s="23"/>
      <c r="BH53" s="23"/>
    </row>
    <row r="54" spans="1:60" ht="12.75">
      <c r="A54" s="202" t="s">
        <v>7</v>
      </c>
      <c r="B54" s="245">
        <v>320000</v>
      </c>
      <c r="C54" s="245">
        <v>177577</v>
      </c>
      <c r="D54" s="178">
        <f>SUM(B$47:B54)/B$62</f>
        <v>0.72018841980586223</v>
      </c>
      <c r="E54" s="178">
        <f>SUM(C$47:C54)/C$62</f>
        <v>0.82197975800456546</v>
      </c>
      <c r="F54" s="178"/>
      <c r="L54" s="23"/>
      <c r="M54" s="23"/>
      <c r="N54" s="23"/>
      <c r="O54" s="23"/>
      <c r="P54" s="23"/>
      <c r="Q54" s="23"/>
      <c r="R54" s="23"/>
      <c r="S54" s="23"/>
      <c r="T54" s="23"/>
      <c r="U54" s="23"/>
      <c r="V54" s="23"/>
      <c r="W54" s="23"/>
      <c r="X54" s="23"/>
      <c r="Y54" s="23"/>
      <c r="Z54" s="23"/>
      <c r="AA54" s="23"/>
      <c r="AB54" s="23"/>
      <c r="AC54" s="23"/>
      <c r="AD54" s="23"/>
      <c r="AE54" s="23"/>
      <c r="AF54" s="23"/>
      <c r="AG54" s="23"/>
      <c r="AH54" s="23"/>
      <c r="AI54" s="23"/>
      <c r="AJ54" s="23"/>
      <c r="AK54" s="23"/>
      <c r="AL54" s="23"/>
      <c r="AM54" s="23"/>
      <c r="AN54" s="23"/>
      <c r="AO54" s="23"/>
      <c r="AP54" s="23"/>
      <c r="AQ54" s="23"/>
      <c r="AR54" s="23"/>
      <c r="AS54" s="23"/>
      <c r="AT54" s="23"/>
      <c r="AU54" s="23"/>
      <c r="AV54" s="23"/>
      <c r="AW54" s="23"/>
      <c r="AX54" s="23"/>
      <c r="AY54" s="23"/>
      <c r="AZ54" s="23"/>
      <c r="BA54" s="23"/>
      <c r="BB54" s="23"/>
      <c r="BC54" s="23"/>
      <c r="BD54" s="23"/>
      <c r="BE54" s="23"/>
      <c r="BF54" s="23"/>
      <c r="BG54" s="23"/>
      <c r="BH54" s="23"/>
    </row>
    <row r="55" spans="1:60" ht="12.75">
      <c r="A55" s="202" t="s">
        <v>9</v>
      </c>
      <c r="B55" s="245">
        <v>230000</v>
      </c>
      <c r="C55" s="245">
        <v>169506</v>
      </c>
      <c r="D55" s="178">
        <f>SUM(B$47:B55)/B$62</f>
        <v>0.79846976978476036</v>
      </c>
      <c r="E55" s="178">
        <f>SUM(C$47:C55)/C$62</f>
        <v>0.87910068225917226</v>
      </c>
      <c r="F55" s="178"/>
      <c r="L55" s="23"/>
      <c r="M55" s="23"/>
      <c r="N55" s="23"/>
      <c r="O55" s="23"/>
      <c r="P55" s="23"/>
      <c r="Q55" s="23"/>
      <c r="R55" s="23"/>
      <c r="S55" s="23"/>
      <c r="T55" s="23"/>
      <c r="U55" s="23"/>
      <c r="V55" s="23"/>
      <c r="W55" s="23"/>
      <c r="X55" s="23"/>
      <c r="Y55" s="23"/>
      <c r="Z55" s="23"/>
      <c r="AA55" s="23"/>
      <c r="AB55" s="23"/>
      <c r="AC55" s="23"/>
      <c r="AD55" s="23"/>
      <c r="AE55" s="23"/>
      <c r="AF55" s="23"/>
      <c r="AG55" s="23"/>
      <c r="AH55" s="23"/>
      <c r="AI55" s="23"/>
      <c r="AJ55" s="23"/>
      <c r="AK55" s="23"/>
      <c r="AL55" s="23"/>
      <c r="AM55" s="23"/>
      <c r="AN55" s="23"/>
      <c r="AO55" s="23"/>
      <c r="AP55" s="23"/>
      <c r="AQ55" s="23"/>
      <c r="AR55" s="23"/>
      <c r="AS55" s="23"/>
      <c r="AT55" s="23"/>
      <c r="AU55" s="23"/>
      <c r="AV55" s="23"/>
      <c r="AW55" s="23"/>
      <c r="AX55" s="23"/>
      <c r="AY55" s="23"/>
      <c r="AZ55" s="23"/>
      <c r="BA55" s="23"/>
      <c r="BB55" s="23"/>
      <c r="BC55" s="23"/>
      <c r="BD55" s="23"/>
      <c r="BE55" s="23"/>
      <c r="BF55" s="23"/>
      <c r="BG55" s="23"/>
      <c r="BH55" s="23"/>
    </row>
    <row r="56" spans="1:60" ht="12.75">
      <c r="A56" s="202" t="s">
        <v>75</v>
      </c>
      <c r="B56" s="245">
        <v>161760</v>
      </c>
      <c r="C56" s="245">
        <v>104932</v>
      </c>
      <c r="D56" s="178">
        <f>SUM(B$47:B56)/B$62</f>
        <v>0.85352538357861485</v>
      </c>
      <c r="E56" s="178">
        <f>SUM(C$47:C56)/C$62</f>
        <v>0.91446115813545037</v>
      </c>
      <c r="F56" s="178"/>
      <c r="L56" s="23"/>
      <c r="M56" s="23"/>
      <c r="N56" s="23"/>
      <c r="O56" s="23"/>
      <c r="P56" s="23"/>
      <c r="Q56" s="23"/>
      <c r="R56" s="23"/>
      <c r="S56" s="23"/>
      <c r="T56" s="23"/>
      <c r="U56" s="23"/>
      <c r="V56" s="23"/>
      <c r="W56" s="23"/>
      <c r="X56" s="23"/>
      <c r="Y56" s="23"/>
      <c r="Z56" s="23"/>
      <c r="AA56" s="23"/>
      <c r="AB56" s="23"/>
      <c r="AC56" s="23"/>
      <c r="AD56" s="23"/>
      <c r="AE56" s="23"/>
      <c r="AF56" s="23"/>
      <c r="AG56" s="23"/>
      <c r="AH56" s="23"/>
      <c r="AI56" s="23"/>
      <c r="AJ56" s="23"/>
      <c r="AK56" s="23"/>
      <c r="AL56" s="23"/>
      <c r="AM56" s="23"/>
      <c r="AN56" s="23"/>
      <c r="AO56" s="23"/>
      <c r="AP56" s="23"/>
      <c r="AQ56" s="23"/>
      <c r="AR56" s="23"/>
      <c r="AS56" s="23"/>
      <c r="AT56" s="23"/>
      <c r="AU56" s="23"/>
      <c r="AV56" s="23"/>
      <c r="AW56" s="23"/>
      <c r="AX56" s="23"/>
      <c r="AY56" s="23"/>
      <c r="AZ56" s="23"/>
      <c r="BA56" s="23"/>
      <c r="BB56" s="23"/>
      <c r="BC56" s="23"/>
      <c r="BD56" s="23"/>
      <c r="BE56" s="23"/>
      <c r="BF56" s="23"/>
      <c r="BG56" s="23"/>
      <c r="BH56" s="23"/>
    </row>
    <row r="57" spans="1:60" ht="12.75">
      <c r="A57" s="202" t="s">
        <v>76</v>
      </c>
      <c r="B57" s="245">
        <v>135060</v>
      </c>
      <c r="C57" s="245">
        <v>96860</v>
      </c>
      <c r="D57" s="178">
        <f>SUM(B$47:B57)/B$62</f>
        <v>0.89949355370100603</v>
      </c>
      <c r="E57" s="178">
        <f>SUM(C$47:C57)/C$62</f>
        <v>0.94710149371826868</v>
      </c>
      <c r="F57" s="178"/>
      <c r="L57" s="23"/>
      <c r="M57" s="23"/>
      <c r="N57" s="23"/>
      <c r="O57" s="23"/>
      <c r="P57" s="23"/>
      <c r="Q57" s="23"/>
      <c r="R57" s="23"/>
      <c r="S57" s="23"/>
      <c r="T57" s="23"/>
      <c r="U57" s="23"/>
      <c r="V57" s="23"/>
      <c r="W57" s="23"/>
      <c r="X57" s="23"/>
      <c r="Y57" s="23"/>
      <c r="Z57" s="23"/>
      <c r="AA57" s="23"/>
      <c r="AB57" s="23"/>
      <c r="AC57" s="23"/>
      <c r="AD57" s="23"/>
      <c r="AE57" s="23"/>
      <c r="AF57" s="23"/>
      <c r="AG57" s="23"/>
      <c r="AH57" s="23"/>
      <c r="AI57" s="23"/>
      <c r="AJ57" s="23"/>
      <c r="AK57" s="23"/>
      <c r="AL57" s="23"/>
      <c r="AM57" s="23"/>
      <c r="AN57" s="23"/>
      <c r="AO57" s="23"/>
      <c r="AP57" s="23"/>
      <c r="AQ57" s="23"/>
      <c r="AR57" s="23"/>
      <c r="AS57" s="23"/>
      <c r="AT57" s="23"/>
      <c r="AU57" s="23"/>
      <c r="AV57" s="23"/>
      <c r="AW57" s="23"/>
      <c r="AX57" s="23"/>
      <c r="AY57" s="23"/>
      <c r="AZ57" s="23"/>
      <c r="BA57" s="23"/>
      <c r="BB57" s="23"/>
      <c r="BC57" s="23"/>
      <c r="BD57" s="23"/>
      <c r="BE57" s="23"/>
      <c r="BF57" s="23"/>
      <c r="BG57" s="23"/>
      <c r="BH57" s="23"/>
    </row>
    <row r="58" spans="1:60" ht="12.75">
      <c r="A58" s="202" t="s">
        <v>77</v>
      </c>
      <c r="B58" s="245">
        <v>101860</v>
      </c>
      <c r="C58" s="245">
        <v>60537</v>
      </c>
      <c r="D58" s="178">
        <f>SUM(B$47:B58)/B$62</f>
        <v>0.93416198113079107</v>
      </c>
      <c r="E58" s="178">
        <f>SUM(C$47:C58)/C$62</f>
        <v>0.96750153496519287</v>
      </c>
      <c r="F58" s="178"/>
      <c r="H58" s="23"/>
      <c r="I58" s="23"/>
      <c r="J58" s="23"/>
      <c r="K58" s="23"/>
      <c r="L58" s="23"/>
      <c r="M58" s="23"/>
      <c r="N58" s="23"/>
      <c r="O58" s="23"/>
      <c r="P58" s="23"/>
      <c r="Q58" s="23"/>
      <c r="R58" s="23"/>
      <c r="S58" s="23"/>
      <c r="T58" s="23"/>
      <c r="U58" s="23"/>
      <c r="V58" s="23"/>
      <c r="W58" s="23"/>
      <c r="X58" s="23"/>
      <c r="Y58" s="23"/>
      <c r="Z58" s="23"/>
      <c r="AA58" s="23"/>
      <c r="AB58" s="23"/>
      <c r="AC58" s="23"/>
      <c r="AD58" s="23"/>
      <c r="AE58" s="23"/>
      <c r="AF58" s="23"/>
      <c r="AG58" s="23"/>
      <c r="AH58" s="23"/>
      <c r="AI58" s="23"/>
      <c r="AJ58" s="23"/>
      <c r="AK58" s="23"/>
      <c r="AL58" s="23"/>
      <c r="AM58" s="23"/>
      <c r="AN58" s="23"/>
      <c r="AO58" s="23"/>
      <c r="AP58" s="23"/>
      <c r="AQ58" s="23"/>
      <c r="AR58" s="23"/>
      <c r="AS58" s="23"/>
      <c r="AT58" s="23"/>
      <c r="AU58" s="23"/>
      <c r="AV58" s="23"/>
      <c r="AW58" s="23"/>
      <c r="AX58" s="23"/>
      <c r="AY58" s="23"/>
      <c r="AZ58" s="23"/>
      <c r="BA58" s="23"/>
      <c r="BB58" s="23"/>
      <c r="BC58" s="23"/>
      <c r="BD58" s="23"/>
      <c r="BE58" s="23"/>
      <c r="BF58" s="23"/>
      <c r="BG58" s="23"/>
      <c r="BH58" s="23"/>
    </row>
    <row r="59" spans="1:60" ht="12.75">
      <c r="A59" s="202" t="s">
        <v>78</v>
      </c>
      <c r="B59" s="245">
        <v>72080</v>
      </c>
      <c r="C59" s="245">
        <v>38744</v>
      </c>
      <c r="D59" s="178">
        <f>SUM(B$47:B59)/B$62</f>
        <v>0.95869467550678666</v>
      </c>
      <c r="E59" s="178">
        <f>SUM(C$47:C59)/C$62</f>
        <v>0.98055766919832021</v>
      </c>
      <c r="F59" s="178"/>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row>
    <row r="60" spans="1:60" ht="12.75">
      <c r="A60" s="202" t="s">
        <v>79</v>
      </c>
      <c r="B60" s="245">
        <v>56240</v>
      </c>
      <c r="C60" s="245">
        <v>24295</v>
      </c>
      <c r="D60" s="178">
        <f>SUM(B$47:B60)/B$62</f>
        <v>0.97783616734510503</v>
      </c>
      <c r="E60" s="178">
        <f>SUM(C$47:C60)/C$62</f>
        <v>0.98874471186799362</v>
      </c>
      <c r="F60" s="178"/>
      <c r="H60" s="23"/>
      <c r="I60" s="23"/>
      <c r="J60" s="23"/>
      <c r="K60" s="23"/>
      <c r="L60" s="23"/>
      <c r="M60" s="23"/>
      <c r="N60" s="23"/>
      <c r="O60" s="23"/>
      <c r="P60" s="23"/>
      <c r="Q60" s="23"/>
      <c r="R60" s="23"/>
      <c r="S60" s="23"/>
      <c r="T60" s="23"/>
      <c r="U60" s="23"/>
      <c r="V60" s="23"/>
      <c r="W60" s="23"/>
      <c r="X60" s="23"/>
      <c r="Y60" s="23"/>
      <c r="Z60" s="23"/>
      <c r="AA60" s="23"/>
      <c r="AB60" s="23"/>
      <c r="AC60" s="23"/>
      <c r="AD60" s="23"/>
      <c r="AE60" s="23"/>
      <c r="AF60" s="23"/>
      <c r="AG60" s="23"/>
      <c r="AH60" s="23"/>
      <c r="AI60" s="23"/>
      <c r="AJ60" s="23"/>
      <c r="AK60" s="23"/>
      <c r="AL60" s="23"/>
      <c r="AM60" s="23"/>
      <c r="AN60" s="23"/>
      <c r="AO60" s="23"/>
      <c r="AP60" s="23"/>
      <c r="AQ60" s="23"/>
      <c r="AR60" s="23"/>
      <c r="AS60" s="23"/>
      <c r="AT60" s="23"/>
      <c r="AU60" s="23"/>
      <c r="AV60" s="23"/>
      <c r="AW60" s="23"/>
      <c r="AX60" s="23"/>
      <c r="AY60" s="23"/>
      <c r="AZ60" s="23"/>
      <c r="BA60" s="23"/>
      <c r="BB60" s="23"/>
      <c r="BC60" s="23"/>
      <c r="BD60" s="23"/>
      <c r="BE60" s="23"/>
      <c r="BF60" s="23"/>
      <c r="BG60" s="23"/>
      <c r="BH60" s="23"/>
    </row>
    <row r="61" spans="1:60" ht="12.75">
      <c r="A61" s="202" t="s">
        <v>80</v>
      </c>
      <c r="B61" s="245">
        <v>65120</v>
      </c>
      <c r="C61" s="245">
        <v>33400</v>
      </c>
      <c r="D61" s="178">
        <f>SUM(B$47:B61)/B$62</f>
        <v>1</v>
      </c>
      <c r="E61" s="178">
        <f>SUM(C$47:C61)/C$62</f>
        <v>1</v>
      </c>
      <c r="F61" s="178"/>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row>
    <row r="62" spans="1:60" ht="12.75">
      <c r="A62" s="203" t="s">
        <v>29</v>
      </c>
      <c r="B62" s="179">
        <f>SUM(B47:B61)</f>
        <v>2938120</v>
      </c>
      <c r="C62" s="179">
        <f>SUM(C47:C61)</f>
        <v>2967494</v>
      </c>
      <c r="D62" s="180">
        <f ca="1">INDEX(Modèles!$A$23:$A$38,MATCH(0.5,D$47:D$61,1),1)+2.5+5*(0.5-OFFSET(D$47,MATCH(0.5,D$47:D$61,1)-1,0))/(OFFSET(D$47,MATCH(0.5,D$47:D$61,1),0)-OFFSET(D$47,MATCH(0.5,D$47:D$61,1)-1,0))</f>
        <v>37.959166666666668</v>
      </c>
      <c r="E62" s="180">
        <f ca="1">INDEX(Modèles!$A$23:$A$38,MATCH(0.5,E$47:E$61,1),1)+2.5+5*(0.5-OFFSET(E$47,MATCH(0.5,E$47:E$61,1)-1,0))/(OFFSET(E$47,MATCH(0.5,E$47:E$61,1),0)-OFFSET(E$47,MATCH(0.5,E$47:E$61,1)-1,0))</f>
        <v>29.659855252684768</v>
      </c>
      <c r="F62" s="212"/>
      <c r="H62" s="23"/>
      <c r="I62" s="23"/>
      <c r="J62" s="23"/>
      <c r="K62" s="23"/>
      <c r="L62" s="23"/>
      <c r="M62" s="23"/>
      <c r="N62" s="23"/>
      <c r="O62" s="23"/>
      <c r="P62" s="23"/>
      <c r="Q62" s="23"/>
      <c r="R62" s="23"/>
      <c r="S62" s="23"/>
      <c r="T62" s="23"/>
      <c r="U62" s="23"/>
      <c r="V62" s="23"/>
      <c r="W62" s="23"/>
      <c r="X62" s="23"/>
      <c r="Y62" s="23"/>
      <c r="Z62" s="23"/>
      <c r="AA62" s="23"/>
      <c r="AB62" s="23"/>
      <c r="AC62" s="23"/>
      <c r="AD62" s="23"/>
      <c r="AE62" s="23"/>
      <c r="AF62" s="23"/>
      <c r="AG62" s="23"/>
      <c r="AH62" s="23"/>
      <c r="AI62" s="23"/>
      <c r="AJ62" s="23"/>
      <c r="AK62" s="23"/>
      <c r="AL62" s="23"/>
      <c r="AM62" s="23"/>
      <c r="AN62" s="23"/>
      <c r="AO62" s="23"/>
      <c r="AP62" s="23"/>
      <c r="AQ62" s="23"/>
      <c r="AR62" s="23"/>
      <c r="AS62" s="23"/>
      <c r="AT62" s="23"/>
      <c r="AU62" s="23"/>
      <c r="AV62" s="23"/>
      <c r="AW62" s="23"/>
      <c r="AX62" s="23"/>
      <c r="AY62" s="23"/>
      <c r="AZ62" s="23"/>
      <c r="BA62" s="23"/>
      <c r="BB62" s="23"/>
      <c r="BC62" s="23"/>
      <c r="BD62" s="23"/>
      <c r="BE62" s="23"/>
      <c r="BF62" s="23"/>
      <c r="BG62" s="23"/>
      <c r="BH62" s="23"/>
    </row>
    <row r="63" spans="1:60" ht="12.75">
      <c r="A63" s="23"/>
      <c r="B63" s="23"/>
      <c r="C63" s="23"/>
      <c r="D63" s="23"/>
      <c r="E63" s="23"/>
      <c r="F63" s="23"/>
      <c r="G63" s="23"/>
      <c r="H63" s="23"/>
      <c r="I63" s="23"/>
      <c r="J63" s="23"/>
      <c r="K63" s="23"/>
      <c r="L63" s="23"/>
      <c r="M63" s="23"/>
      <c r="N63" s="23"/>
      <c r="O63" s="23"/>
      <c r="P63" s="23"/>
      <c r="Q63" s="23"/>
      <c r="R63" s="23"/>
      <c r="S63" s="23"/>
      <c r="T63" s="23"/>
      <c r="U63" s="23"/>
      <c r="V63" s="23"/>
      <c r="W63" s="23"/>
      <c r="X63" s="23"/>
      <c r="Y63" s="23"/>
      <c r="Z63" s="23"/>
      <c r="AA63" s="23"/>
      <c r="AB63" s="23"/>
      <c r="AC63" s="23"/>
      <c r="AD63" s="23"/>
      <c r="AE63" s="23"/>
      <c r="AF63" s="23"/>
      <c r="AG63" s="23"/>
      <c r="AH63" s="23"/>
      <c r="AI63" s="23"/>
      <c r="AJ63" s="23"/>
      <c r="AK63" s="23"/>
      <c r="AL63" s="23"/>
      <c r="AM63" s="23"/>
      <c r="AN63" s="23"/>
      <c r="AO63" s="23"/>
      <c r="AP63" s="23"/>
      <c r="AQ63" s="23"/>
      <c r="AR63" s="23"/>
      <c r="AS63" s="23"/>
      <c r="AT63" s="23"/>
      <c r="AU63" s="23"/>
      <c r="AV63" s="23"/>
      <c r="AW63" s="23"/>
      <c r="AX63" s="23"/>
      <c r="AY63" s="23"/>
      <c r="AZ63" s="23"/>
      <c r="BA63" s="23"/>
      <c r="BB63" s="23"/>
      <c r="BC63" s="23"/>
      <c r="BD63" s="23"/>
      <c r="BE63" s="23"/>
      <c r="BF63" s="23"/>
      <c r="BG63" s="23"/>
      <c r="BH63" s="23"/>
    </row>
    <row r="64" spans="1:60" ht="12.75">
      <c r="A64" s="23"/>
      <c r="B64" s="23"/>
      <c r="C64" s="23"/>
      <c r="D64" s="23"/>
      <c r="E64" s="23"/>
      <c r="F64" s="23"/>
      <c r="G64" s="23"/>
      <c r="H64" s="23"/>
      <c r="I64" s="23"/>
      <c r="J64" s="23"/>
      <c r="K64" s="23"/>
      <c r="L64" s="23"/>
      <c r="M64" s="23"/>
      <c r="N64" s="23"/>
      <c r="O64" s="23"/>
      <c r="P64" s="23"/>
      <c r="Q64" s="23"/>
      <c r="R64" s="23"/>
      <c r="S64" s="23"/>
      <c r="T64" s="23"/>
      <c r="U64" s="23"/>
      <c r="V64" s="23"/>
      <c r="W64" s="23"/>
      <c r="X64" s="23"/>
      <c r="Y64" s="23"/>
      <c r="Z64" s="23"/>
      <c r="AA64" s="23"/>
      <c r="AB64" s="23"/>
      <c r="AC64" s="23"/>
      <c r="AD64" s="23"/>
      <c r="AE64" s="23"/>
      <c r="AF64" s="23"/>
      <c r="AG64" s="23"/>
      <c r="AH64" s="23"/>
      <c r="AI64" s="23"/>
      <c r="AJ64" s="23"/>
      <c r="AK64" s="23"/>
      <c r="AL64" s="23"/>
      <c r="AM64" s="23"/>
      <c r="AN64" s="23"/>
      <c r="AO64" s="23"/>
      <c r="AP64" s="23"/>
      <c r="AQ64" s="23"/>
      <c r="AR64" s="23"/>
      <c r="AS64" s="23"/>
      <c r="AT64" s="23"/>
      <c r="AU64" s="23"/>
      <c r="AV64" s="23"/>
      <c r="AW64" s="23"/>
      <c r="AX64" s="23"/>
      <c r="AY64" s="23"/>
      <c r="AZ64" s="23"/>
      <c r="BA64" s="23"/>
      <c r="BB64" s="23"/>
      <c r="BC64" s="23"/>
      <c r="BD64" s="23"/>
      <c r="BE64" s="23"/>
      <c r="BF64" s="23"/>
      <c r="BG64" s="23"/>
      <c r="BH64" s="23"/>
    </row>
    <row r="65" spans="1:60" ht="12.75">
      <c r="A65" s="23"/>
      <c r="B65" s="23"/>
      <c r="C65" s="23"/>
      <c r="D65" s="23"/>
      <c r="E65" s="23"/>
      <c r="F65" s="23"/>
      <c r="G65" s="23"/>
      <c r="H65" s="23"/>
      <c r="I65" s="23"/>
      <c r="J65" s="23"/>
      <c r="K65" s="23"/>
      <c r="L65" s="23"/>
      <c r="M65" s="23"/>
      <c r="N65" s="23"/>
      <c r="O65" s="23"/>
      <c r="P65" s="23"/>
      <c r="Q65" s="23"/>
      <c r="R65" s="23"/>
      <c r="S65" s="23"/>
      <c r="T65" s="23"/>
      <c r="U65" s="23"/>
      <c r="V65" s="23"/>
      <c r="W65" s="23"/>
      <c r="X65" s="23"/>
      <c r="Y65" s="23"/>
      <c r="Z65" s="23"/>
      <c r="AA65" s="23"/>
      <c r="AB65" s="23"/>
      <c r="AC65" s="23"/>
      <c r="AD65" s="23"/>
      <c r="AE65" s="23"/>
      <c r="AF65" s="23"/>
      <c r="AG65" s="23"/>
      <c r="AH65" s="23"/>
      <c r="AI65" s="23"/>
      <c r="AJ65" s="23"/>
      <c r="AK65" s="23"/>
      <c r="AL65" s="23"/>
      <c r="AM65" s="23"/>
      <c r="AN65" s="23"/>
      <c r="AO65" s="23"/>
      <c r="AP65" s="23"/>
      <c r="AQ65" s="23"/>
      <c r="AR65" s="23"/>
      <c r="AS65" s="23"/>
      <c r="AT65" s="23"/>
      <c r="AU65" s="23"/>
      <c r="AV65" s="23"/>
      <c r="AW65" s="23"/>
      <c r="AX65" s="23"/>
      <c r="AY65" s="23"/>
      <c r="AZ65" s="23"/>
      <c r="BA65" s="23"/>
      <c r="BB65" s="23"/>
      <c r="BC65" s="23"/>
      <c r="BD65" s="23"/>
      <c r="BE65" s="23"/>
      <c r="BF65" s="23"/>
      <c r="BG65" s="23"/>
      <c r="BH65" s="23"/>
    </row>
    <row r="66" spans="1:60" ht="12.75">
      <c r="A66" s="23"/>
      <c r="B66" s="23"/>
      <c r="C66" s="23"/>
      <c r="D66" s="23"/>
      <c r="E66" s="23"/>
      <c r="F66" s="23"/>
      <c r="G66" s="23"/>
      <c r="H66" s="23"/>
      <c r="I66" s="23"/>
      <c r="J66" s="23"/>
      <c r="K66" s="23"/>
      <c r="L66" s="23"/>
      <c r="M66" s="23"/>
      <c r="N66" s="23"/>
      <c r="O66" s="23"/>
      <c r="P66" s="23"/>
      <c r="Q66" s="23"/>
      <c r="R66" s="23"/>
      <c r="S66" s="23"/>
      <c r="T66" s="23"/>
      <c r="U66" s="23"/>
      <c r="V66" s="23"/>
      <c r="W66" s="23"/>
      <c r="X66" s="23"/>
      <c r="Y66" s="23"/>
      <c r="Z66" s="23"/>
      <c r="AA66" s="23"/>
      <c r="AB66" s="23"/>
      <c r="AC66" s="23"/>
      <c r="AD66" s="23"/>
      <c r="AE66" s="23"/>
      <c r="AF66" s="23"/>
      <c r="AG66" s="23"/>
      <c r="AH66" s="23"/>
      <c r="AI66" s="23"/>
      <c r="AJ66" s="23"/>
      <c r="AK66" s="23"/>
      <c r="AL66" s="23"/>
      <c r="AM66" s="23"/>
      <c r="AN66" s="23"/>
      <c r="AO66" s="23"/>
      <c r="AP66" s="23"/>
      <c r="AQ66" s="23"/>
      <c r="AR66" s="23"/>
      <c r="AS66" s="23"/>
      <c r="AT66" s="23"/>
      <c r="AU66" s="23"/>
      <c r="AV66" s="23"/>
      <c r="AW66" s="23"/>
      <c r="AX66" s="23"/>
      <c r="AY66" s="23"/>
      <c r="AZ66" s="23"/>
      <c r="BA66" s="23"/>
      <c r="BB66" s="23"/>
      <c r="BC66" s="23"/>
      <c r="BD66" s="23"/>
      <c r="BE66" s="23"/>
      <c r="BF66" s="23"/>
      <c r="BG66" s="23"/>
      <c r="BH66" s="23"/>
    </row>
    <row r="67" spans="1:60" ht="12.75">
      <c r="A67" s="23"/>
      <c r="B67" s="23"/>
      <c r="C67" s="23"/>
      <c r="D67" s="23"/>
      <c r="E67" s="23"/>
      <c r="F67" s="23"/>
      <c r="G67" s="23"/>
      <c r="H67" s="23"/>
      <c r="I67" s="23"/>
      <c r="J67" s="23"/>
      <c r="K67" s="23"/>
      <c r="L67" s="23"/>
      <c r="M67" s="23"/>
      <c r="N67" s="23"/>
      <c r="O67" s="23"/>
      <c r="P67" s="23"/>
      <c r="Q67" s="23"/>
      <c r="R67" s="23"/>
      <c r="S67" s="23"/>
      <c r="T67" s="23"/>
      <c r="U67" s="23"/>
      <c r="V67" s="23"/>
      <c r="W67" s="23"/>
      <c r="X67" s="23"/>
      <c r="Y67" s="23"/>
      <c r="Z67" s="23"/>
      <c r="AA67" s="23"/>
      <c r="AB67" s="23"/>
      <c r="AC67" s="23"/>
      <c r="AD67" s="23"/>
      <c r="AE67" s="23"/>
      <c r="AF67" s="23"/>
      <c r="AG67" s="23"/>
      <c r="AH67" s="23"/>
      <c r="AI67" s="23"/>
      <c r="AJ67" s="23"/>
      <c r="AK67" s="23"/>
      <c r="AL67" s="23"/>
      <c r="AM67" s="23"/>
      <c r="AN67" s="23"/>
      <c r="AO67" s="23"/>
      <c r="AP67" s="23"/>
      <c r="AQ67" s="23"/>
      <c r="AR67" s="23"/>
      <c r="AS67" s="23"/>
      <c r="AT67" s="23"/>
      <c r="AU67" s="23"/>
      <c r="AV67" s="23"/>
      <c r="AW67" s="23"/>
      <c r="AX67" s="23"/>
      <c r="AY67" s="23"/>
      <c r="AZ67" s="23"/>
      <c r="BA67" s="23"/>
      <c r="BB67" s="23"/>
      <c r="BC67" s="23"/>
      <c r="BD67" s="23"/>
      <c r="BE67" s="23"/>
      <c r="BF67" s="23"/>
      <c r="BG67" s="23"/>
      <c r="BH67" s="23"/>
    </row>
    <row r="68" spans="1:60" ht="12.75">
      <c r="A68" s="23"/>
      <c r="B68" s="23"/>
      <c r="C68" s="23"/>
      <c r="D68" s="23"/>
      <c r="E68" s="23"/>
      <c r="F68" s="23"/>
      <c r="G68" s="23"/>
      <c r="H68" s="23"/>
      <c r="I68" s="23"/>
      <c r="J68" s="23"/>
      <c r="K68" s="23"/>
      <c r="L68" s="23"/>
      <c r="M68" s="23"/>
      <c r="N68" s="23"/>
      <c r="O68" s="23"/>
      <c r="P68" s="23"/>
      <c r="Q68" s="23"/>
      <c r="R68" s="23"/>
      <c r="S68" s="23"/>
      <c r="T68" s="23"/>
      <c r="U68" s="23"/>
      <c r="V68" s="23"/>
      <c r="W68" s="23"/>
      <c r="X68" s="23"/>
      <c r="Y68" s="23"/>
      <c r="Z68" s="23"/>
      <c r="AA68" s="23"/>
      <c r="AB68" s="23"/>
      <c r="AC68" s="23"/>
      <c r="AD68" s="23"/>
      <c r="AE68" s="23"/>
      <c r="AF68" s="23"/>
      <c r="AG68" s="23"/>
      <c r="AH68" s="23"/>
      <c r="AI68" s="23"/>
      <c r="AJ68" s="23"/>
      <c r="AK68" s="23"/>
      <c r="AL68" s="23"/>
      <c r="AM68" s="23"/>
      <c r="AN68" s="23"/>
      <c r="AO68" s="23"/>
      <c r="AP68" s="23"/>
      <c r="AQ68" s="23"/>
      <c r="AR68" s="23"/>
      <c r="AS68" s="23"/>
      <c r="AT68" s="23"/>
      <c r="AU68" s="23"/>
      <c r="AV68" s="23"/>
      <c r="AW68" s="23"/>
      <c r="AX68" s="23"/>
      <c r="AY68" s="23"/>
      <c r="AZ68" s="23"/>
      <c r="BA68" s="23"/>
      <c r="BB68" s="23"/>
      <c r="BC68" s="23"/>
      <c r="BD68" s="23"/>
      <c r="BE68" s="23"/>
      <c r="BF68" s="23"/>
      <c r="BG68" s="23"/>
      <c r="BH68" s="23"/>
    </row>
    <row r="69" spans="1:60" ht="12.75">
      <c r="A69" s="23"/>
      <c r="B69" s="23"/>
      <c r="C69" s="23"/>
      <c r="D69" s="23"/>
      <c r="E69" s="23"/>
      <c r="F69" s="23"/>
      <c r="G69" s="23"/>
      <c r="H69" s="23"/>
      <c r="I69" s="23"/>
      <c r="J69" s="23"/>
      <c r="K69" s="23"/>
      <c r="L69" s="23"/>
      <c r="M69" s="23"/>
      <c r="N69" s="23"/>
      <c r="O69" s="23"/>
      <c r="P69" s="23"/>
      <c r="Q69" s="23"/>
      <c r="R69" s="23"/>
      <c r="S69" s="23"/>
      <c r="T69" s="23"/>
      <c r="U69" s="23"/>
      <c r="V69" s="23"/>
      <c r="W69" s="23"/>
      <c r="X69" s="23"/>
      <c r="Y69" s="23"/>
      <c r="Z69" s="23"/>
      <c r="AA69" s="23"/>
      <c r="AB69" s="23"/>
      <c r="AC69" s="23"/>
      <c r="AD69" s="23"/>
      <c r="AE69" s="23"/>
      <c r="AF69" s="23"/>
      <c r="AG69" s="23"/>
      <c r="AH69" s="23"/>
      <c r="AI69" s="23"/>
      <c r="AJ69" s="23"/>
      <c r="AK69" s="23"/>
      <c r="AL69" s="23"/>
      <c r="AM69" s="23"/>
      <c r="AN69" s="23"/>
      <c r="AO69" s="23"/>
      <c r="AP69" s="23"/>
      <c r="AQ69" s="23"/>
      <c r="AR69" s="23"/>
      <c r="AS69" s="23"/>
      <c r="AT69" s="23"/>
      <c r="AU69" s="23"/>
      <c r="AV69" s="23"/>
      <c r="AW69" s="23"/>
      <c r="AX69" s="23"/>
      <c r="AY69" s="23"/>
      <c r="AZ69" s="23"/>
      <c r="BA69" s="23"/>
      <c r="BB69" s="23"/>
      <c r="BC69" s="23"/>
      <c r="BD69" s="23"/>
      <c r="BE69" s="23"/>
      <c r="BF69" s="23"/>
      <c r="BG69" s="23"/>
      <c r="BH69" s="23"/>
    </row>
    <row r="70" spans="1:60" ht="12.75">
      <c r="A70" s="23"/>
      <c r="B70" s="23"/>
      <c r="C70" s="23"/>
      <c r="D70" s="23"/>
      <c r="E70" s="23"/>
      <c r="F70" s="23"/>
      <c r="G70" s="23"/>
      <c r="H70" s="23"/>
      <c r="I70" s="23"/>
      <c r="J70" s="23"/>
      <c r="K70" s="23"/>
      <c r="L70" s="23"/>
      <c r="M70" s="23"/>
      <c r="N70" s="23"/>
      <c r="O70" s="23"/>
      <c r="P70" s="23"/>
      <c r="Q70" s="23"/>
      <c r="R70" s="23"/>
      <c r="S70" s="23"/>
      <c r="T70" s="23"/>
      <c r="U70" s="23"/>
      <c r="V70" s="23"/>
      <c r="W70" s="23"/>
      <c r="X70" s="23"/>
      <c r="Y70" s="23"/>
      <c r="Z70" s="23"/>
      <c r="AA70" s="23"/>
      <c r="AB70" s="23"/>
      <c r="AC70" s="23"/>
      <c r="AD70" s="23"/>
      <c r="AE70" s="23"/>
      <c r="AF70" s="23"/>
      <c r="AG70" s="23"/>
      <c r="AH70" s="23"/>
      <c r="AI70" s="23"/>
      <c r="AJ70" s="23"/>
      <c r="AK70" s="23"/>
      <c r="AL70" s="23"/>
      <c r="AM70" s="23"/>
      <c r="AN70" s="23"/>
      <c r="AO70" s="23"/>
      <c r="AP70" s="23"/>
      <c r="AQ70" s="23"/>
      <c r="AR70" s="23"/>
      <c r="AS70" s="23"/>
      <c r="AT70" s="23"/>
      <c r="AU70" s="23"/>
      <c r="AV70" s="23"/>
      <c r="AW70" s="23"/>
      <c r="AX70" s="23"/>
      <c r="AY70" s="23"/>
      <c r="AZ70" s="23"/>
      <c r="BA70" s="23"/>
      <c r="BB70" s="23"/>
      <c r="BC70" s="23"/>
      <c r="BD70" s="23"/>
      <c r="BE70" s="23"/>
      <c r="BF70" s="23"/>
      <c r="BG70" s="23"/>
      <c r="BH70" s="23"/>
    </row>
    <row r="71" spans="1:60" ht="12.75">
      <c r="A71" s="23"/>
      <c r="B71" s="23"/>
      <c r="C71" s="23"/>
      <c r="D71" s="23"/>
      <c r="E71" s="23"/>
      <c r="F71" s="23"/>
      <c r="G71" s="23"/>
      <c r="H71" s="23"/>
      <c r="I71" s="23"/>
      <c r="J71" s="23"/>
      <c r="K71" s="23"/>
      <c r="L71" s="23"/>
      <c r="M71" s="23"/>
      <c r="N71" s="23"/>
      <c r="O71" s="23"/>
      <c r="P71" s="23"/>
      <c r="Q71" s="23"/>
      <c r="R71" s="23"/>
      <c r="S71" s="23"/>
      <c r="T71" s="23"/>
      <c r="U71" s="23"/>
      <c r="V71" s="23"/>
      <c r="W71" s="23"/>
      <c r="X71" s="23"/>
      <c r="Y71" s="23"/>
      <c r="Z71" s="23"/>
      <c r="AA71" s="23"/>
      <c r="AB71" s="23"/>
      <c r="AC71" s="23"/>
      <c r="AD71" s="23"/>
      <c r="AE71" s="23"/>
      <c r="AF71" s="23"/>
      <c r="AG71" s="23"/>
      <c r="AH71" s="23"/>
      <c r="AI71" s="23"/>
      <c r="AJ71" s="23"/>
      <c r="AK71" s="23"/>
      <c r="AL71" s="23"/>
      <c r="AM71" s="23"/>
      <c r="AN71" s="23"/>
      <c r="AO71" s="23"/>
      <c r="AP71" s="23"/>
      <c r="AQ71" s="23"/>
      <c r="AR71" s="23"/>
      <c r="AS71" s="23"/>
      <c r="AT71" s="23"/>
      <c r="AU71" s="23"/>
      <c r="AV71" s="23"/>
      <c r="AW71" s="23"/>
      <c r="AX71" s="23"/>
      <c r="AY71" s="23"/>
      <c r="AZ71" s="23"/>
      <c r="BA71" s="23"/>
      <c r="BB71" s="23"/>
      <c r="BC71" s="23"/>
      <c r="BD71" s="23"/>
      <c r="BE71" s="23"/>
      <c r="BF71" s="23"/>
      <c r="BG71" s="23"/>
      <c r="BH71" s="23"/>
    </row>
    <row r="72" spans="1:60" ht="12.75">
      <c r="A72" s="23"/>
      <c r="B72" s="23"/>
      <c r="C72" s="23"/>
      <c r="D72" s="23"/>
      <c r="E72" s="23"/>
      <c r="F72" s="23"/>
      <c r="G72" s="23"/>
      <c r="H72" s="23"/>
      <c r="I72" s="23"/>
      <c r="J72" s="23"/>
      <c r="K72" s="23"/>
      <c r="L72" s="23"/>
      <c r="M72" s="23"/>
      <c r="N72" s="23"/>
      <c r="O72" s="23"/>
      <c r="P72" s="23"/>
      <c r="Q72" s="23"/>
      <c r="R72" s="23"/>
      <c r="S72" s="23"/>
      <c r="T72" s="23"/>
      <c r="U72" s="23"/>
      <c r="V72" s="23"/>
      <c r="W72" s="23"/>
      <c r="X72" s="23"/>
      <c r="Y72" s="23"/>
      <c r="Z72" s="23"/>
      <c r="AA72" s="23"/>
      <c r="AB72" s="23"/>
      <c r="AC72" s="23"/>
      <c r="AD72" s="23"/>
      <c r="AE72" s="23"/>
      <c r="AF72" s="23"/>
      <c r="AG72" s="23"/>
      <c r="AH72" s="23"/>
      <c r="AI72" s="23"/>
      <c r="AJ72" s="23"/>
      <c r="AK72" s="23"/>
      <c r="AL72" s="23"/>
      <c r="AM72" s="23"/>
      <c r="AN72" s="23"/>
      <c r="AO72" s="23"/>
      <c r="AP72" s="23"/>
      <c r="AQ72" s="23"/>
      <c r="AR72" s="23"/>
      <c r="AS72" s="23"/>
      <c r="AT72" s="23"/>
      <c r="AU72" s="23"/>
      <c r="AV72" s="23"/>
      <c r="AW72" s="23"/>
      <c r="AX72" s="23"/>
      <c r="AY72" s="23"/>
      <c r="AZ72" s="23"/>
      <c r="BA72" s="23"/>
      <c r="BB72" s="23"/>
      <c r="BC72" s="23"/>
      <c r="BD72" s="23"/>
      <c r="BE72" s="23"/>
      <c r="BF72" s="23"/>
      <c r="BG72" s="23"/>
      <c r="BH72" s="23"/>
    </row>
    <row r="73" spans="1:60" ht="12.75">
      <c r="A73" s="23"/>
      <c r="B73" s="23"/>
      <c r="C73" s="23"/>
      <c r="D73" s="23"/>
      <c r="E73" s="23"/>
      <c r="F73" s="23"/>
      <c r="G73" s="23"/>
      <c r="H73" s="23"/>
      <c r="I73" s="23"/>
      <c r="J73" s="23"/>
      <c r="K73" s="23"/>
      <c r="L73" s="23"/>
      <c r="M73" s="23"/>
      <c r="N73" s="23"/>
      <c r="O73" s="23"/>
      <c r="P73" s="23"/>
      <c r="Q73" s="23"/>
      <c r="R73" s="23"/>
      <c r="S73" s="23"/>
      <c r="T73" s="23"/>
      <c r="U73" s="23"/>
      <c r="V73" s="23"/>
      <c r="W73" s="23"/>
      <c r="X73" s="23"/>
      <c r="Y73" s="23"/>
      <c r="Z73" s="23"/>
      <c r="AA73" s="23"/>
      <c r="AB73" s="23"/>
      <c r="AC73" s="23"/>
      <c r="AD73" s="23"/>
      <c r="AE73" s="23"/>
      <c r="AF73" s="23"/>
      <c r="AG73" s="23"/>
      <c r="AH73" s="23"/>
      <c r="AI73" s="23"/>
      <c r="AJ73" s="23"/>
      <c r="AK73" s="23"/>
      <c r="AL73" s="23"/>
      <c r="AM73" s="23"/>
      <c r="AN73" s="23"/>
      <c r="AO73" s="23"/>
      <c r="AP73" s="23"/>
      <c r="AQ73" s="23"/>
      <c r="AR73" s="23"/>
      <c r="AS73" s="23"/>
      <c r="AT73" s="23"/>
      <c r="AU73" s="23"/>
      <c r="AV73" s="23"/>
      <c r="AW73" s="23"/>
      <c r="AX73" s="23"/>
      <c r="AY73" s="23"/>
      <c r="AZ73" s="23"/>
      <c r="BA73" s="23"/>
      <c r="BB73" s="23"/>
      <c r="BC73" s="23"/>
      <c r="BD73" s="23"/>
      <c r="BE73" s="23"/>
      <c r="BF73" s="23"/>
      <c r="BG73" s="23"/>
      <c r="BH73" s="23"/>
    </row>
    <row r="74" spans="1:60" ht="12.75">
      <c r="A74" s="23"/>
      <c r="B74" s="23"/>
      <c r="C74" s="23"/>
      <c r="D74" s="23"/>
      <c r="E74" s="23"/>
      <c r="F74" s="23"/>
      <c r="G74" s="23"/>
      <c r="H74" s="23"/>
      <c r="I74" s="23"/>
      <c r="J74" s="23"/>
      <c r="K74" s="23"/>
      <c r="L74" s="23"/>
      <c r="M74" s="23"/>
      <c r="N74" s="23"/>
      <c r="O74" s="23"/>
      <c r="P74" s="23"/>
      <c r="Q74" s="23"/>
      <c r="R74" s="23"/>
      <c r="S74" s="23"/>
      <c r="T74" s="23"/>
      <c r="U74" s="23"/>
      <c r="V74" s="23"/>
      <c r="W74" s="23"/>
      <c r="X74" s="23"/>
      <c r="Y74" s="23"/>
      <c r="Z74" s="23"/>
      <c r="AA74" s="23"/>
      <c r="AB74" s="23"/>
      <c r="AC74" s="23"/>
      <c r="AD74" s="23"/>
      <c r="AE74" s="23"/>
      <c r="AF74" s="23"/>
      <c r="AG74" s="23"/>
      <c r="AH74" s="23"/>
      <c r="AI74" s="23"/>
      <c r="AJ74" s="23"/>
      <c r="AK74" s="23"/>
      <c r="AL74" s="23"/>
      <c r="AM74" s="23"/>
      <c r="AN74" s="23"/>
      <c r="AO74" s="23"/>
      <c r="AP74" s="23"/>
      <c r="AQ74" s="23"/>
      <c r="AR74" s="23"/>
      <c r="AS74" s="23"/>
      <c r="AT74" s="23"/>
      <c r="AU74" s="23"/>
      <c r="AV74" s="23"/>
      <c r="AW74" s="23"/>
      <c r="AX74" s="23"/>
      <c r="AY74" s="23"/>
      <c r="AZ74" s="23"/>
      <c r="BA74" s="23"/>
      <c r="BB74" s="23"/>
      <c r="BC74" s="23"/>
      <c r="BD74" s="23"/>
      <c r="BE74" s="23"/>
      <c r="BF74" s="23"/>
      <c r="BG74" s="23"/>
      <c r="BH74" s="23"/>
    </row>
    <row r="75" spans="1:60" ht="12.75">
      <c r="A75" s="23"/>
      <c r="B75" s="23"/>
      <c r="C75" s="23"/>
      <c r="D75" s="23"/>
      <c r="E75" s="23"/>
      <c r="F75" s="23"/>
      <c r="G75" s="23"/>
      <c r="H75" s="23"/>
      <c r="I75" s="23"/>
      <c r="J75" s="23"/>
      <c r="K75" s="23"/>
      <c r="L75" s="23"/>
      <c r="M75" s="23"/>
      <c r="N75" s="23"/>
      <c r="O75" s="23"/>
      <c r="P75" s="23"/>
      <c r="Q75" s="23"/>
      <c r="R75" s="23"/>
      <c r="S75" s="23"/>
      <c r="T75" s="23"/>
      <c r="U75" s="23"/>
      <c r="V75" s="23"/>
      <c r="W75" s="23"/>
      <c r="X75" s="23"/>
      <c r="Y75" s="23"/>
      <c r="Z75" s="23"/>
      <c r="AA75" s="23"/>
      <c r="AB75" s="23"/>
      <c r="AC75" s="23"/>
      <c r="AD75" s="23"/>
      <c r="AE75" s="23"/>
      <c r="AF75" s="23"/>
      <c r="AG75" s="23"/>
      <c r="AH75" s="23"/>
      <c r="AI75" s="23"/>
      <c r="AJ75" s="23"/>
      <c r="AK75" s="23"/>
      <c r="AL75" s="23"/>
      <c r="AM75" s="23"/>
      <c r="AN75" s="23"/>
      <c r="AO75" s="23"/>
      <c r="AP75" s="23"/>
      <c r="AQ75" s="23"/>
      <c r="AR75" s="23"/>
      <c r="AS75" s="23"/>
      <c r="AT75" s="23"/>
      <c r="AU75" s="23"/>
      <c r="AV75" s="23"/>
      <c r="AW75" s="23"/>
      <c r="AX75" s="23"/>
      <c r="AY75" s="23"/>
      <c r="AZ75" s="23"/>
      <c r="BA75" s="23"/>
      <c r="BB75" s="23"/>
      <c r="BC75" s="23"/>
      <c r="BD75" s="23"/>
      <c r="BE75" s="23"/>
      <c r="BF75" s="23"/>
      <c r="BG75" s="23"/>
      <c r="BH75" s="23"/>
    </row>
    <row r="76" spans="1:60" ht="12.75">
      <c r="A76" s="23"/>
      <c r="B76" s="23"/>
      <c r="C76" s="23"/>
      <c r="D76" s="23"/>
      <c r="E76" s="23"/>
      <c r="F76" s="23"/>
      <c r="G76" s="23"/>
      <c r="H76" s="23"/>
      <c r="I76" s="23"/>
      <c r="J76" s="23"/>
      <c r="K76" s="23"/>
      <c r="L76" s="23"/>
      <c r="M76" s="23"/>
      <c r="N76" s="23"/>
      <c r="O76" s="23"/>
      <c r="P76" s="23"/>
      <c r="Q76" s="23"/>
      <c r="R76" s="23"/>
      <c r="S76" s="23"/>
      <c r="T76" s="23"/>
      <c r="U76" s="23"/>
      <c r="V76" s="23"/>
      <c r="W76" s="23"/>
      <c r="X76" s="23"/>
      <c r="Y76" s="23"/>
      <c r="Z76" s="23"/>
      <c r="AA76" s="23"/>
      <c r="AB76" s="23"/>
      <c r="AC76" s="23"/>
      <c r="AD76" s="23"/>
      <c r="AE76" s="23"/>
      <c r="AF76" s="23"/>
      <c r="AG76" s="23"/>
      <c r="AH76" s="23"/>
      <c r="AI76" s="23"/>
      <c r="AJ76" s="23"/>
      <c r="AK76" s="23"/>
      <c r="AL76" s="23"/>
      <c r="AM76" s="23"/>
      <c r="AN76" s="23"/>
      <c r="AO76" s="23"/>
      <c r="AP76" s="23"/>
      <c r="AQ76" s="23"/>
      <c r="AR76" s="23"/>
      <c r="AS76" s="23"/>
      <c r="AT76" s="23"/>
      <c r="AU76" s="23"/>
      <c r="AV76" s="23"/>
      <c r="AW76" s="23"/>
      <c r="AX76" s="23"/>
      <c r="AY76" s="23"/>
      <c r="AZ76" s="23"/>
      <c r="BA76" s="23"/>
      <c r="BB76" s="23"/>
      <c r="BC76" s="23"/>
      <c r="BD76" s="23"/>
      <c r="BE76" s="23"/>
      <c r="BF76" s="23"/>
      <c r="BG76" s="23"/>
      <c r="BH76" s="23"/>
    </row>
    <row r="77" spans="1:60" ht="12.75">
      <c r="A77" s="23"/>
      <c r="B77" s="23"/>
      <c r="C77" s="23"/>
      <c r="D77" s="23"/>
      <c r="E77" s="23"/>
      <c r="F77" s="23"/>
      <c r="G77" s="23"/>
      <c r="H77" s="23"/>
      <c r="I77" s="23"/>
      <c r="J77" s="23"/>
      <c r="K77" s="23"/>
      <c r="L77" s="23"/>
      <c r="M77" s="23"/>
      <c r="N77" s="23"/>
      <c r="O77" s="23"/>
      <c r="P77" s="23"/>
      <c r="Q77" s="23"/>
      <c r="R77" s="23"/>
      <c r="S77" s="23"/>
      <c r="T77" s="23"/>
      <c r="U77" s="23"/>
      <c r="V77" s="23"/>
      <c r="W77" s="23"/>
      <c r="X77" s="23"/>
      <c r="Y77" s="23"/>
      <c r="Z77" s="23"/>
      <c r="AA77" s="23"/>
      <c r="AB77" s="23"/>
      <c r="AC77" s="23"/>
      <c r="AD77" s="23"/>
      <c r="AE77" s="23"/>
      <c r="AF77" s="23"/>
      <c r="AG77" s="23"/>
      <c r="AH77" s="23"/>
      <c r="AI77" s="23"/>
      <c r="AJ77" s="23"/>
      <c r="AK77" s="23"/>
      <c r="AL77" s="23"/>
      <c r="AM77" s="23"/>
      <c r="AN77" s="23"/>
      <c r="AO77" s="23"/>
      <c r="AP77" s="23"/>
      <c r="AQ77" s="23"/>
      <c r="AR77" s="23"/>
      <c r="AS77" s="23"/>
      <c r="AT77" s="23"/>
      <c r="AU77" s="23"/>
      <c r="AV77" s="23"/>
      <c r="AW77" s="23"/>
      <c r="AX77" s="23"/>
      <c r="AY77" s="23"/>
      <c r="AZ77" s="23"/>
      <c r="BA77" s="23"/>
      <c r="BB77" s="23"/>
      <c r="BC77" s="23"/>
      <c r="BD77" s="23"/>
      <c r="BE77" s="23"/>
      <c r="BF77" s="23"/>
      <c r="BG77" s="23"/>
      <c r="BH77" s="23"/>
    </row>
    <row r="78" spans="1:60" ht="12.75">
      <c r="A78" s="23"/>
      <c r="B78" s="23"/>
      <c r="C78" s="23"/>
      <c r="D78" s="23"/>
      <c r="E78" s="23"/>
      <c r="F78" s="23"/>
      <c r="G78" s="23"/>
      <c r="H78" s="23"/>
      <c r="I78" s="23"/>
      <c r="J78" s="23"/>
      <c r="K78" s="23"/>
      <c r="L78" s="23"/>
      <c r="M78" s="23"/>
      <c r="N78" s="23"/>
      <c r="O78" s="23"/>
      <c r="P78" s="23"/>
      <c r="Q78" s="23"/>
      <c r="R78" s="23"/>
      <c r="S78" s="23"/>
      <c r="T78" s="23"/>
      <c r="U78" s="23"/>
      <c r="V78" s="23"/>
      <c r="W78" s="23"/>
      <c r="X78" s="23"/>
      <c r="Y78" s="23"/>
      <c r="Z78" s="23"/>
      <c r="AA78" s="23"/>
      <c r="AB78" s="23"/>
      <c r="AC78" s="23"/>
      <c r="AD78" s="23"/>
      <c r="AE78" s="23"/>
      <c r="AF78" s="23"/>
      <c r="AG78" s="23"/>
      <c r="AH78" s="23"/>
      <c r="AI78" s="23"/>
      <c r="AJ78" s="23"/>
      <c r="AK78" s="23"/>
      <c r="AL78" s="23"/>
      <c r="AM78" s="23"/>
      <c r="AN78" s="23"/>
      <c r="AO78" s="23"/>
      <c r="AP78" s="23"/>
      <c r="AQ78" s="23"/>
      <c r="AR78" s="23"/>
      <c r="AS78" s="23"/>
      <c r="AT78" s="23"/>
      <c r="AU78" s="23"/>
      <c r="AV78" s="23"/>
      <c r="AW78" s="23"/>
      <c r="AX78" s="23"/>
      <c r="AY78" s="23"/>
      <c r="AZ78" s="23"/>
      <c r="BA78" s="23"/>
      <c r="BB78" s="23"/>
      <c r="BC78" s="23"/>
      <c r="BD78" s="23"/>
      <c r="BE78" s="23"/>
      <c r="BF78" s="23"/>
      <c r="BG78" s="23"/>
      <c r="BH78" s="23"/>
    </row>
    <row r="79" spans="1:60" ht="12.75">
      <c r="A79" s="23"/>
      <c r="B79" s="23"/>
      <c r="C79" s="23"/>
      <c r="D79" s="23"/>
      <c r="E79" s="23"/>
      <c r="F79" s="23"/>
      <c r="G79" s="23"/>
      <c r="H79" s="23"/>
      <c r="I79" s="23"/>
      <c r="J79" s="23"/>
      <c r="K79" s="23"/>
      <c r="L79" s="23"/>
      <c r="M79" s="23"/>
      <c r="N79" s="23"/>
      <c r="O79" s="23"/>
      <c r="P79" s="23"/>
      <c r="Q79" s="23"/>
      <c r="R79" s="23"/>
      <c r="S79" s="23"/>
      <c r="T79" s="23"/>
      <c r="U79" s="23"/>
      <c r="V79" s="23"/>
      <c r="W79" s="23"/>
      <c r="X79" s="23"/>
      <c r="Y79" s="23"/>
      <c r="Z79" s="23"/>
      <c r="AA79" s="23"/>
      <c r="AB79" s="23"/>
      <c r="AC79" s="23"/>
      <c r="AD79" s="23"/>
      <c r="AE79" s="23"/>
      <c r="AF79" s="23"/>
      <c r="AG79" s="23"/>
      <c r="AH79" s="23"/>
      <c r="AI79" s="23"/>
      <c r="AJ79" s="23"/>
      <c r="AK79" s="23"/>
      <c r="AL79" s="23"/>
      <c r="AM79" s="23"/>
      <c r="AN79" s="23"/>
      <c r="AO79" s="23"/>
      <c r="AP79" s="23"/>
      <c r="AQ79" s="23"/>
      <c r="AR79" s="23"/>
      <c r="AS79" s="23"/>
      <c r="AT79" s="23"/>
      <c r="AU79" s="23"/>
      <c r="AV79" s="23"/>
      <c r="AW79" s="23"/>
      <c r="AX79" s="23"/>
      <c r="AY79" s="23"/>
      <c r="AZ79" s="23"/>
      <c r="BA79" s="23"/>
      <c r="BB79" s="23"/>
      <c r="BC79" s="23"/>
      <c r="BD79" s="23"/>
      <c r="BE79" s="23"/>
      <c r="BF79" s="23"/>
      <c r="BG79" s="23"/>
      <c r="BH79" s="23"/>
    </row>
    <row r="80" spans="1:60" ht="12.75">
      <c r="A80" s="23"/>
      <c r="B80" s="23"/>
      <c r="C80" s="23"/>
      <c r="D80" s="23"/>
      <c r="E80" s="23"/>
      <c r="F80" s="23"/>
      <c r="G80" s="23"/>
      <c r="H80" s="23"/>
      <c r="I80" s="23"/>
      <c r="J80" s="23"/>
      <c r="K80" s="23"/>
      <c r="L80" s="23"/>
      <c r="M80" s="23"/>
      <c r="N80" s="23"/>
      <c r="O80" s="23"/>
      <c r="P80" s="23"/>
      <c r="Q80" s="23"/>
      <c r="R80" s="23"/>
      <c r="S80" s="23"/>
      <c r="T80" s="23"/>
      <c r="U80" s="23"/>
      <c r="V80" s="23"/>
      <c r="W80" s="23"/>
      <c r="X80" s="23"/>
      <c r="Y80" s="23"/>
      <c r="Z80" s="23"/>
      <c r="AA80" s="23"/>
      <c r="AB80" s="23"/>
      <c r="AC80" s="23"/>
      <c r="AD80" s="23"/>
      <c r="AE80" s="23"/>
      <c r="AF80" s="23"/>
      <c r="AG80" s="23"/>
      <c r="AH80" s="23"/>
      <c r="AI80" s="23"/>
      <c r="AJ80" s="23"/>
      <c r="AK80" s="23"/>
      <c r="AL80" s="23"/>
      <c r="AM80" s="23"/>
      <c r="AN80" s="23"/>
      <c r="AO80" s="23"/>
      <c r="AP80" s="23"/>
      <c r="AQ80" s="23"/>
      <c r="AR80" s="23"/>
      <c r="AS80" s="23"/>
      <c r="AT80" s="23"/>
      <c r="AU80" s="23"/>
      <c r="AV80" s="23"/>
      <c r="AW80" s="23"/>
      <c r="AX80" s="23"/>
      <c r="AY80" s="23"/>
      <c r="AZ80" s="23"/>
      <c r="BA80" s="23"/>
      <c r="BB80" s="23"/>
      <c r="BC80" s="23"/>
      <c r="BD80" s="23"/>
      <c r="BE80" s="23"/>
      <c r="BF80" s="23"/>
      <c r="BG80" s="23"/>
      <c r="BH80" s="23"/>
    </row>
    <row r="81" spans="1:60" ht="12.75">
      <c r="A81" s="23"/>
      <c r="B81" s="23"/>
      <c r="C81" s="23"/>
      <c r="D81" s="23"/>
      <c r="E81" s="23"/>
      <c r="F81" s="23"/>
      <c r="G81" s="23"/>
      <c r="H81" s="23"/>
      <c r="I81" s="23"/>
      <c r="J81" s="23"/>
      <c r="K81" s="23"/>
      <c r="L81" s="23"/>
      <c r="M81" s="23"/>
      <c r="N81" s="23"/>
      <c r="O81" s="23"/>
      <c r="P81" s="23"/>
      <c r="Q81" s="23"/>
      <c r="R81" s="23"/>
      <c r="S81" s="23"/>
      <c r="T81" s="23"/>
      <c r="U81" s="23"/>
      <c r="V81" s="23"/>
      <c r="W81" s="23"/>
      <c r="X81" s="23"/>
      <c r="Y81" s="23"/>
      <c r="Z81" s="23"/>
      <c r="AA81" s="23"/>
      <c r="AB81" s="23"/>
      <c r="AC81" s="23"/>
      <c r="AD81" s="23"/>
      <c r="AE81" s="23"/>
      <c r="AF81" s="23"/>
      <c r="AG81" s="23"/>
      <c r="AH81" s="23"/>
      <c r="AI81" s="23"/>
      <c r="AJ81" s="23"/>
      <c r="AK81" s="23"/>
      <c r="AL81" s="23"/>
      <c r="AM81" s="23"/>
      <c r="AN81" s="23"/>
      <c r="AO81" s="23"/>
      <c r="AP81" s="23"/>
      <c r="AQ81" s="23"/>
      <c r="AR81" s="23"/>
      <c r="AS81" s="23"/>
      <c r="AT81" s="23"/>
      <c r="AU81" s="23"/>
      <c r="AV81" s="23"/>
      <c r="AW81" s="23"/>
      <c r="AX81" s="23"/>
      <c r="AY81" s="23"/>
      <c r="AZ81" s="23"/>
      <c r="BA81" s="23"/>
      <c r="BB81" s="23"/>
      <c r="BC81" s="23"/>
      <c r="BD81" s="23"/>
      <c r="BE81" s="23"/>
      <c r="BF81" s="23"/>
      <c r="BG81" s="23"/>
      <c r="BH81" s="23"/>
    </row>
    <row r="82" spans="1:60" ht="12.75">
      <c r="A82" s="23"/>
      <c r="B82" s="23"/>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row>
    <row r="83" spans="1:60" ht="12.75">
      <c r="A83" s="23"/>
      <c r="B83" s="23"/>
      <c r="C83" s="23"/>
      <c r="D83" s="23"/>
      <c r="E83" s="23"/>
      <c r="F83" s="23"/>
      <c r="G83" s="23"/>
      <c r="H83" s="23"/>
      <c r="I83" s="23"/>
      <c r="J83" s="23"/>
      <c r="K83" s="23"/>
      <c r="L83" s="23"/>
      <c r="M83" s="23"/>
      <c r="N83" s="23"/>
      <c r="O83" s="23"/>
      <c r="P83" s="23"/>
      <c r="Q83" s="23"/>
      <c r="R83" s="23"/>
      <c r="S83" s="23"/>
      <c r="T83" s="23"/>
      <c r="U83" s="23"/>
      <c r="V83" s="23"/>
      <c r="W83" s="23"/>
      <c r="X83" s="23"/>
      <c r="Y83" s="23"/>
      <c r="Z83" s="23"/>
      <c r="AA83" s="23"/>
      <c r="AB83" s="23"/>
      <c r="AC83" s="23"/>
      <c r="AD83" s="23"/>
      <c r="AE83" s="23"/>
      <c r="AF83" s="23"/>
      <c r="AG83" s="23"/>
      <c r="AH83" s="23"/>
      <c r="AI83" s="23"/>
      <c r="AJ83" s="23"/>
      <c r="AK83" s="23"/>
      <c r="AL83" s="23"/>
      <c r="AM83" s="23"/>
      <c r="AN83" s="23"/>
      <c r="AO83" s="23"/>
      <c r="AP83" s="23"/>
      <c r="AQ83" s="23"/>
      <c r="AR83" s="23"/>
      <c r="AS83" s="23"/>
      <c r="AT83" s="23"/>
      <c r="AU83" s="23"/>
      <c r="AV83" s="23"/>
      <c r="AW83" s="23"/>
      <c r="AX83" s="23"/>
      <c r="AY83" s="23"/>
      <c r="AZ83" s="23"/>
      <c r="BA83" s="23"/>
      <c r="BB83" s="23"/>
      <c r="BC83" s="23"/>
      <c r="BD83" s="23"/>
      <c r="BE83" s="23"/>
      <c r="BF83" s="23"/>
      <c r="BG83" s="23"/>
      <c r="BH83" s="23"/>
    </row>
    <row r="84" spans="1:60" ht="12.75">
      <c r="A84" s="23"/>
      <c r="B84" s="23"/>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3"/>
      <c r="AY84" s="23"/>
      <c r="AZ84" s="23"/>
      <c r="BA84" s="23"/>
      <c r="BB84" s="23"/>
      <c r="BC84" s="23"/>
      <c r="BD84" s="23"/>
      <c r="BE84" s="23"/>
      <c r="BF84" s="23"/>
      <c r="BG84" s="23"/>
      <c r="BH84" s="23"/>
    </row>
    <row r="85" spans="1:60" ht="12.75">
      <c r="A85" s="23"/>
      <c r="B85" s="23"/>
      <c r="C85" s="23"/>
      <c r="D85" s="23"/>
      <c r="E85" s="23"/>
      <c r="F85" s="23"/>
      <c r="G85" s="23"/>
      <c r="H85" s="23"/>
      <c r="I85" s="23"/>
      <c r="J85" s="23"/>
      <c r="K85" s="23"/>
      <c r="L85" s="23"/>
      <c r="M85" s="23"/>
      <c r="N85" s="23"/>
      <c r="O85" s="23"/>
      <c r="P85" s="23"/>
      <c r="Q85" s="23"/>
      <c r="R85" s="23"/>
      <c r="S85" s="23"/>
      <c r="T85" s="23"/>
      <c r="U85" s="23"/>
      <c r="V85" s="23"/>
      <c r="W85" s="23"/>
      <c r="X85" s="23"/>
      <c r="Y85" s="23"/>
      <c r="Z85" s="23"/>
      <c r="AA85" s="23"/>
      <c r="AB85" s="23"/>
      <c r="AC85" s="23"/>
      <c r="AD85" s="23"/>
      <c r="AE85" s="23"/>
      <c r="AF85" s="23"/>
      <c r="AG85" s="23"/>
      <c r="AH85" s="23"/>
      <c r="AI85" s="23"/>
      <c r="AJ85" s="23"/>
      <c r="AK85" s="23"/>
      <c r="AL85" s="23"/>
      <c r="AM85" s="23"/>
      <c r="AN85" s="23"/>
      <c r="AO85" s="23"/>
      <c r="AP85" s="23"/>
      <c r="AQ85" s="23"/>
      <c r="AR85" s="23"/>
      <c r="AS85" s="23"/>
      <c r="AT85" s="23"/>
      <c r="AU85" s="23"/>
      <c r="AV85" s="23"/>
      <c r="AW85" s="23"/>
      <c r="AX85" s="23"/>
      <c r="AY85" s="23"/>
      <c r="AZ85" s="23"/>
      <c r="BA85" s="23"/>
      <c r="BB85" s="23"/>
      <c r="BC85" s="23"/>
      <c r="BD85" s="23"/>
      <c r="BE85" s="23"/>
      <c r="BF85" s="23"/>
      <c r="BG85" s="23"/>
      <c r="BH85" s="23"/>
    </row>
    <row r="86" spans="1:60" ht="12.75">
      <c r="A86" s="23"/>
      <c r="B86" s="23"/>
      <c r="C86" s="23"/>
      <c r="D86" s="23"/>
      <c r="E86" s="23"/>
      <c r="F86" s="23"/>
      <c r="G86" s="23"/>
      <c r="H86" s="23"/>
      <c r="I86" s="23"/>
      <c r="J86" s="23"/>
      <c r="K86" s="23"/>
      <c r="L86" s="23"/>
      <c r="M86" s="23"/>
      <c r="N86" s="23"/>
      <c r="O86" s="23"/>
      <c r="P86" s="23"/>
      <c r="Q86" s="23"/>
      <c r="R86" s="23"/>
      <c r="S86" s="23"/>
      <c r="T86" s="23"/>
      <c r="U86" s="23"/>
      <c r="V86" s="23"/>
      <c r="W86" s="23"/>
      <c r="X86" s="23"/>
      <c r="Y86" s="23"/>
      <c r="Z86" s="23"/>
      <c r="AA86" s="23"/>
      <c r="AB86" s="23"/>
      <c r="AC86" s="23"/>
      <c r="AD86" s="23"/>
      <c r="AE86" s="23"/>
      <c r="AF86" s="23"/>
      <c r="AG86" s="23"/>
      <c r="AH86" s="23"/>
      <c r="AI86" s="23"/>
      <c r="AJ86" s="23"/>
      <c r="AK86" s="23"/>
      <c r="AL86" s="23"/>
      <c r="AM86" s="23"/>
      <c r="AN86" s="23"/>
      <c r="AO86" s="23"/>
      <c r="AP86" s="23"/>
      <c r="AQ86" s="23"/>
      <c r="AR86" s="23"/>
      <c r="AS86" s="23"/>
      <c r="AT86" s="23"/>
      <c r="AU86" s="23"/>
      <c r="AV86" s="23"/>
      <c r="AW86" s="23"/>
      <c r="AX86" s="23"/>
      <c r="AY86" s="23"/>
      <c r="AZ86" s="23"/>
      <c r="BA86" s="23"/>
      <c r="BB86" s="23"/>
      <c r="BC86" s="23"/>
      <c r="BD86" s="23"/>
      <c r="BE86" s="23"/>
      <c r="BF86" s="23"/>
      <c r="BG86" s="23"/>
      <c r="BH86" s="23"/>
    </row>
    <row r="87" spans="1:60" ht="12.75">
      <c r="A87" s="23"/>
      <c r="B87" s="23"/>
      <c r="C87" s="23"/>
      <c r="D87" s="23"/>
      <c r="E87" s="23"/>
      <c r="F87" s="23"/>
      <c r="G87" s="23"/>
      <c r="H87" s="23"/>
      <c r="I87" s="23"/>
      <c r="J87" s="23"/>
      <c r="K87" s="23"/>
      <c r="L87" s="23"/>
      <c r="M87" s="23"/>
      <c r="N87" s="23"/>
      <c r="O87" s="23"/>
      <c r="P87" s="23"/>
      <c r="Q87" s="23"/>
      <c r="R87" s="23"/>
      <c r="S87" s="23"/>
      <c r="T87" s="23"/>
      <c r="U87" s="23"/>
      <c r="V87" s="23"/>
      <c r="W87" s="23"/>
      <c r="X87" s="23"/>
      <c r="Y87" s="23"/>
      <c r="Z87" s="23"/>
      <c r="AA87" s="23"/>
      <c r="AB87" s="23"/>
      <c r="AC87" s="23"/>
      <c r="AD87" s="23"/>
      <c r="AE87" s="23"/>
      <c r="AF87" s="23"/>
      <c r="AG87" s="23"/>
      <c r="AH87" s="23"/>
      <c r="AI87" s="23"/>
      <c r="AJ87" s="23"/>
      <c r="AK87" s="23"/>
      <c r="AL87" s="23"/>
      <c r="AM87" s="23"/>
      <c r="AN87" s="23"/>
      <c r="AO87" s="23"/>
      <c r="AP87" s="23"/>
      <c r="AQ87" s="23"/>
      <c r="AR87" s="23"/>
      <c r="AS87" s="23"/>
      <c r="AT87" s="23"/>
      <c r="AU87" s="23"/>
      <c r="AV87" s="23"/>
      <c r="AW87" s="23"/>
      <c r="AX87" s="23"/>
      <c r="AY87" s="23"/>
      <c r="AZ87" s="23"/>
      <c r="BA87" s="23"/>
      <c r="BB87" s="23"/>
      <c r="BC87" s="23"/>
      <c r="BD87" s="23"/>
      <c r="BE87" s="23"/>
      <c r="BF87" s="23"/>
      <c r="BG87" s="23"/>
      <c r="BH87" s="23"/>
    </row>
    <row r="88" spans="1:60" ht="12.75">
      <c r="A88" s="23"/>
      <c r="B88" s="23"/>
      <c r="C88" s="23"/>
      <c r="D88" s="23"/>
      <c r="E88" s="23"/>
      <c r="F88" s="23"/>
      <c r="G88" s="23"/>
      <c r="H88" s="23"/>
      <c r="I88" s="23"/>
      <c r="J88" s="23"/>
      <c r="K88" s="23"/>
      <c r="L88" s="23"/>
      <c r="M88" s="23"/>
      <c r="N88" s="23"/>
      <c r="O88" s="23"/>
      <c r="P88" s="23"/>
      <c r="Q88" s="23"/>
      <c r="R88" s="23"/>
      <c r="S88" s="23"/>
      <c r="T88" s="23"/>
      <c r="U88" s="23"/>
      <c r="V88" s="23"/>
      <c r="W88" s="23"/>
      <c r="X88" s="23"/>
      <c r="Y88" s="23"/>
      <c r="Z88" s="23"/>
      <c r="AA88" s="23"/>
      <c r="AB88" s="23"/>
      <c r="AC88" s="23"/>
      <c r="AD88" s="23"/>
      <c r="AE88" s="23"/>
      <c r="AF88" s="23"/>
      <c r="AG88" s="23"/>
      <c r="AH88" s="23"/>
      <c r="AI88" s="23"/>
      <c r="AJ88" s="23"/>
      <c r="AK88" s="23"/>
      <c r="AL88" s="23"/>
      <c r="AM88" s="23"/>
      <c r="AN88" s="23"/>
      <c r="AO88" s="23"/>
      <c r="AP88" s="23"/>
      <c r="AQ88" s="23"/>
      <c r="AR88" s="23"/>
      <c r="AS88" s="23"/>
      <c r="AT88" s="23"/>
      <c r="AU88" s="23"/>
      <c r="AV88" s="23"/>
      <c r="AW88" s="23"/>
      <c r="AX88" s="23"/>
      <c r="AY88" s="23"/>
      <c r="AZ88" s="23"/>
      <c r="BA88" s="23"/>
      <c r="BB88" s="23"/>
      <c r="BC88" s="23"/>
      <c r="BD88" s="23"/>
      <c r="BE88" s="23"/>
      <c r="BF88" s="23"/>
      <c r="BG88" s="23"/>
      <c r="BH88" s="23"/>
    </row>
    <row r="89" spans="1:60" ht="12.75">
      <c r="A89" s="23"/>
      <c r="B89" s="23"/>
      <c r="C89" s="23"/>
      <c r="D89" s="23"/>
      <c r="E89" s="23"/>
      <c r="F89" s="23"/>
      <c r="G89" s="23"/>
      <c r="H89" s="23"/>
      <c r="I89" s="23"/>
      <c r="J89" s="23"/>
      <c r="K89" s="23"/>
      <c r="L89" s="23"/>
      <c r="M89" s="23"/>
      <c r="N89" s="23"/>
      <c r="O89" s="23"/>
      <c r="P89" s="23"/>
      <c r="Q89" s="23"/>
      <c r="R89" s="23"/>
      <c r="S89" s="23"/>
      <c r="T89" s="23"/>
      <c r="U89" s="23"/>
      <c r="V89" s="23"/>
      <c r="W89" s="23"/>
      <c r="X89" s="23"/>
      <c r="Y89" s="23"/>
      <c r="Z89" s="23"/>
      <c r="AA89" s="23"/>
      <c r="AB89" s="23"/>
      <c r="AC89" s="23"/>
      <c r="AD89" s="23"/>
      <c r="AE89" s="23"/>
      <c r="AF89" s="23"/>
      <c r="AG89" s="23"/>
      <c r="AH89" s="23"/>
      <c r="AI89" s="23"/>
      <c r="AJ89" s="23"/>
      <c r="AK89" s="23"/>
      <c r="AL89" s="23"/>
      <c r="AM89" s="23"/>
      <c r="AN89" s="23"/>
      <c r="AO89" s="23"/>
      <c r="AP89" s="23"/>
      <c r="AQ89" s="23"/>
      <c r="AR89" s="23"/>
      <c r="AS89" s="23"/>
      <c r="AT89" s="23"/>
      <c r="AU89" s="23"/>
      <c r="AV89" s="23"/>
      <c r="AW89" s="23"/>
      <c r="AX89" s="23"/>
      <c r="AY89" s="23"/>
      <c r="AZ89" s="23"/>
      <c r="BA89" s="23"/>
      <c r="BB89" s="23"/>
      <c r="BC89" s="23"/>
      <c r="BD89" s="23"/>
      <c r="BE89" s="23"/>
      <c r="BF89" s="23"/>
      <c r="BG89" s="23"/>
      <c r="BH89" s="23"/>
    </row>
    <row r="90" spans="1:60" ht="12.75">
      <c r="A90" s="23"/>
      <c r="B90" s="23"/>
      <c r="C90" s="23"/>
      <c r="D90" s="23"/>
      <c r="E90" s="23"/>
      <c r="F90" s="23"/>
      <c r="G90" s="23"/>
      <c r="H90" s="23"/>
      <c r="I90" s="23"/>
      <c r="J90" s="23"/>
      <c r="K90" s="23"/>
      <c r="L90" s="23"/>
      <c r="M90" s="23"/>
      <c r="N90" s="23"/>
      <c r="O90" s="23"/>
      <c r="P90" s="23"/>
      <c r="Q90" s="23"/>
      <c r="R90" s="23"/>
      <c r="S90" s="23"/>
      <c r="T90" s="23"/>
      <c r="U90" s="23"/>
      <c r="V90" s="23"/>
      <c r="W90" s="23"/>
      <c r="X90" s="23"/>
      <c r="Y90" s="23"/>
      <c r="Z90" s="23"/>
      <c r="AA90" s="23"/>
      <c r="AB90" s="23"/>
      <c r="AC90" s="23"/>
      <c r="AD90" s="23"/>
      <c r="AE90" s="23"/>
      <c r="AF90" s="23"/>
      <c r="AG90" s="23"/>
      <c r="AH90" s="23"/>
      <c r="AI90" s="23"/>
      <c r="AJ90" s="23"/>
      <c r="AK90" s="23"/>
      <c r="AL90" s="23"/>
      <c r="AM90" s="23"/>
      <c r="AN90" s="23"/>
      <c r="AO90" s="23"/>
      <c r="AP90" s="23"/>
      <c r="AQ90" s="23"/>
      <c r="AR90" s="23"/>
      <c r="AS90" s="23"/>
      <c r="AT90" s="23"/>
      <c r="AU90" s="23"/>
      <c r="AV90" s="23"/>
      <c r="AW90" s="23"/>
      <c r="AX90" s="23"/>
      <c r="AY90" s="23"/>
      <c r="AZ90" s="23"/>
      <c r="BA90" s="23"/>
      <c r="BB90" s="23"/>
      <c r="BC90" s="23"/>
      <c r="BD90" s="23"/>
      <c r="BE90" s="23"/>
      <c r="BF90" s="23"/>
      <c r="BG90" s="23"/>
      <c r="BH90" s="23"/>
    </row>
    <row r="91" spans="1:60" ht="12.75">
      <c r="A91" s="23"/>
      <c r="B91" s="23"/>
      <c r="C91" s="23"/>
      <c r="D91" s="23"/>
      <c r="E91" s="23"/>
      <c r="F91" s="23"/>
      <c r="G91" s="23"/>
      <c r="H91" s="23"/>
      <c r="I91" s="23"/>
      <c r="J91" s="23"/>
      <c r="K91" s="23"/>
      <c r="L91" s="23"/>
      <c r="M91" s="23"/>
      <c r="N91" s="23"/>
      <c r="O91" s="23"/>
      <c r="P91" s="23"/>
      <c r="Q91" s="23"/>
      <c r="R91" s="23"/>
      <c r="S91" s="23"/>
      <c r="T91" s="23"/>
      <c r="U91" s="23"/>
      <c r="V91" s="23"/>
      <c r="W91" s="23"/>
      <c r="X91" s="23"/>
      <c r="Y91" s="23"/>
      <c r="Z91" s="23"/>
      <c r="AA91" s="23"/>
      <c r="AB91" s="23"/>
      <c r="AC91" s="23"/>
      <c r="AD91" s="23"/>
      <c r="AE91" s="23"/>
      <c r="AF91" s="23"/>
      <c r="AG91" s="23"/>
      <c r="AH91" s="23"/>
      <c r="AI91" s="23"/>
      <c r="AJ91" s="23"/>
      <c r="AK91" s="23"/>
      <c r="AL91" s="23"/>
      <c r="AM91" s="23"/>
      <c r="AN91" s="23"/>
      <c r="AO91" s="23"/>
      <c r="AP91" s="23"/>
      <c r="AQ91" s="23"/>
      <c r="AR91" s="23"/>
      <c r="AS91" s="23"/>
      <c r="AT91" s="23"/>
      <c r="AU91" s="23"/>
      <c r="AV91" s="23"/>
      <c r="AW91" s="23"/>
      <c r="AX91" s="23"/>
      <c r="AY91" s="23"/>
      <c r="AZ91" s="23"/>
      <c r="BA91" s="23"/>
      <c r="BB91" s="23"/>
      <c r="BC91" s="23"/>
      <c r="BD91" s="23"/>
      <c r="BE91" s="23"/>
      <c r="BF91" s="23"/>
      <c r="BG91" s="23"/>
      <c r="BH91" s="23"/>
    </row>
    <row r="92" spans="1:60" ht="12.75">
      <c r="A92" s="23"/>
      <c r="B92" s="23"/>
      <c r="C92" s="23"/>
      <c r="D92" s="23"/>
      <c r="E92" s="23"/>
      <c r="F92" s="23"/>
      <c r="G92" s="23"/>
      <c r="H92" s="23"/>
      <c r="I92" s="23"/>
      <c r="J92" s="23"/>
      <c r="K92" s="23"/>
      <c r="L92" s="23"/>
      <c r="M92" s="23"/>
      <c r="N92" s="23"/>
      <c r="O92" s="23"/>
      <c r="P92" s="23"/>
      <c r="Q92" s="23"/>
      <c r="R92" s="23"/>
      <c r="S92" s="23"/>
      <c r="T92" s="23"/>
      <c r="U92" s="23"/>
      <c r="V92" s="23"/>
      <c r="W92" s="23"/>
      <c r="X92" s="23"/>
      <c r="Y92" s="23"/>
      <c r="Z92" s="23"/>
      <c r="AA92" s="23"/>
      <c r="AB92" s="23"/>
      <c r="AC92" s="23"/>
      <c r="AD92" s="23"/>
      <c r="AE92" s="23"/>
      <c r="AF92" s="23"/>
      <c r="AG92" s="23"/>
      <c r="AH92" s="23"/>
      <c r="AI92" s="23"/>
      <c r="AJ92" s="23"/>
      <c r="AK92" s="23"/>
      <c r="AL92" s="23"/>
      <c r="AM92" s="23"/>
      <c r="AN92" s="23"/>
      <c r="AO92" s="23"/>
      <c r="AP92" s="23"/>
      <c r="AQ92" s="23"/>
      <c r="AR92" s="23"/>
      <c r="AS92" s="23"/>
      <c r="AT92" s="23"/>
      <c r="AU92" s="23"/>
      <c r="AV92" s="23"/>
      <c r="AW92" s="23"/>
      <c r="AX92" s="23"/>
      <c r="AY92" s="23"/>
      <c r="AZ92" s="23"/>
      <c r="BA92" s="23"/>
      <c r="BB92" s="23"/>
      <c r="BC92" s="23"/>
      <c r="BD92" s="23"/>
      <c r="BE92" s="23"/>
      <c r="BF92" s="23"/>
      <c r="BG92" s="23"/>
      <c r="BH92" s="23"/>
    </row>
    <row r="93" spans="1:60" ht="12.75">
      <c r="A93" s="23"/>
      <c r="B93" s="23"/>
      <c r="C93" s="23"/>
      <c r="D93" s="23"/>
      <c r="E93" s="23"/>
      <c r="F93" s="23"/>
      <c r="G93" s="23"/>
      <c r="H93" s="23"/>
      <c r="I93" s="23"/>
      <c r="J93" s="23"/>
      <c r="K93" s="23"/>
      <c r="L93" s="23"/>
      <c r="M93" s="23"/>
      <c r="N93" s="23"/>
      <c r="O93" s="23"/>
      <c r="P93" s="23"/>
      <c r="Q93" s="23"/>
      <c r="R93" s="23"/>
      <c r="S93" s="23"/>
      <c r="T93" s="23"/>
      <c r="U93" s="23"/>
      <c r="V93" s="23"/>
      <c r="W93" s="23"/>
      <c r="X93" s="23"/>
      <c r="Y93" s="23"/>
      <c r="Z93" s="23"/>
      <c r="AA93" s="23"/>
      <c r="AB93" s="23"/>
      <c r="AC93" s="23"/>
      <c r="AD93" s="23"/>
      <c r="AE93" s="23"/>
      <c r="AF93" s="23"/>
      <c r="AG93" s="23"/>
      <c r="AH93" s="23"/>
      <c r="AI93" s="23"/>
      <c r="AJ93" s="23"/>
      <c r="AK93" s="23"/>
      <c r="AL93" s="23"/>
      <c r="AM93" s="23"/>
      <c r="AN93" s="23"/>
      <c r="AO93" s="23"/>
      <c r="AP93" s="23"/>
      <c r="AQ93" s="23"/>
      <c r="AR93" s="23"/>
      <c r="AS93" s="23"/>
      <c r="AT93" s="23"/>
      <c r="AU93" s="23"/>
      <c r="AV93" s="23"/>
      <c r="AW93" s="23"/>
      <c r="AX93" s="23"/>
      <c r="AY93" s="23"/>
      <c r="AZ93" s="23"/>
      <c r="BA93" s="23"/>
      <c r="BB93" s="23"/>
      <c r="BC93" s="23"/>
      <c r="BD93" s="23"/>
      <c r="BE93" s="23"/>
      <c r="BF93" s="23"/>
      <c r="BG93" s="23"/>
      <c r="BH93" s="23"/>
    </row>
    <row r="94" spans="1:60" ht="12.75">
      <c r="A94" s="23"/>
      <c r="B94" s="23"/>
      <c r="C94" s="23"/>
      <c r="D94" s="23"/>
      <c r="E94" s="23"/>
      <c r="F94" s="23"/>
      <c r="G94" s="23"/>
      <c r="H94" s="23"/>
      <c r="I94" s="23"/>
      <c r="J94" s="23"/>
      <c r="K94" s="23"/>
      <c r="L94" s="23"/>
      <c r="M94" s="23"/>
      <c r="N94" s="23"/>
      <c r="O94" s="23"/>
      <c r="P94" s="23"/>
      <c r="Q94" s="23"/>
      <c r="R94" s="23"/>
      <c r="S94" s="23"/>
      <c r="T94" s="23"/>
      <c r="U94" s="23"/>
      <c r="V94" s="23"/>
      <c r="W94" s="23"/>
      <c r="X94" s="23"/>
      <c r="Y94" s="23"/>
      <c r="Z94" s="23"/>
      <c r="AA94" s="23"/>
      <c r="AB94" s="23"/>
      <c r="AC94" s="23"/>
      <c r="AD94" s="23"/>
      <c r="AE94" s="23"/>
      <c r="AF94" s="23"/>
      <c r="AG94" s="23"/>
      <c r="AH94" s="23"/>
      <c r="AI94" s="23"/>
      <c r="AJ94" s="23"/>
      <c r="AK94" s="23"/>
      <c r="AL94" s="23"/>
      <c r="AM94" s="23"/>
      <c r="AN94" s="23"/>
      <c r="AO94" s="23"/>
      <c r="AP94" s="23"/>
      <c r="AQ94" s="23"/>
      <c r="AR94" s="23"/>
      <c r="AS94" s="23"/>
      <c r="AT94" s="23"/>
      <c r="AU94" s="23"/>
      <c r="AV94" s="23"/>
      <c r="AW94" s="23"/>
      <c r="AX94" s="23"/>
      <c r="AY94" s="23"/>
      <c r="AZ94" s="23"/>
      <c r="BA94" s="23"/>
      <c r="BB94" s="23"/>
      <c r="BC94" s="23"/>
      <c r="BD94" s="23"/>
      <c r="BE94" s="23"/>
      <c r="BF94" s="23"/>
      <c r="BG94" s="23"/>
      <c r="BH94" s="23"/>
    </row>
    <row r="95" spans="1:60" ht="12.75">
      <c r="A95" s="23"/>
      <c r="B95" s="23"/>
      <c r="C95" s="23"/>
      <c r="D95" s="23"/>
      <c r="E95" s="23"/>
      <c r="F95" s="23"/>
      <c r="G95" s="23"/>
      <c r="H95" s="23"/>
      <c r="I95" s="23"/>
      <c r="J95" s="23"/>
      <c r="K95" s="23"/>
      <c r="L95" s="23"/>
      <c r="M95" s="23"/>
      <c r="N95" s="23"/>
      <c r="O95" s="23"/>
      <c r="P95" s="23"/>
      <c r="Q95" s="23"/>
      <c r="R95" s="23"/>
      <c r="S95" s="23"/>
      <c r="T95" s="23"/>
      <c r="U95" s="23"/>
      <c r="V95" s="23"/>
      <c r="W95" s="23"/>
      <c r="X95" s="23"/>
      <c r="Y95" s="23"/>
      <c r="Z95" s="23"/>
      <c r="AA95" s="23"/>
      <c r="AB95" s="23"/>
      <c r="AC95" s="23"/>
      <c r="AD95" s="23"/>
      <c r="AE95" s="23"/>
      <c r="AF95" s="23"/>
      <c r="AG95" s="23"/>
      <c r="AH95" s="23"/>
      <c r="AI95" s="23"/>
      <c r="AJ95" s="23"/>
      <c r="AK95" s="23"/>
      <c r="AL95" s="23"/>
      <c r="AM95" s="23"/>
      <c r="AN95" s="23"/>
      <c r="AO95" s="23"/>
      <c r="AP95" s="23"/>
      <c r="AQ95" s="23"/>
      <c r="AR95" s="23"/>
      <c r="AS95" s="23"/>
      <c r="AT95" s="23"/>
      <c r="AU95" s="23"/>
      <c r="AV95" s="23"/>
      <c r="AW95" s="23"/>
      <c r="AX95" s="23"/>
      <c r="AY95" s="23"/>
      <c r="AZ95" s="23"/>
      <c r="BA95" s="23"/>
      <c r="BB95" s="23"/>
      <c r="BC95" s="23"/>
      <c r="BD95" s="23"/>
      <c r="BE95" s="23"/>
      <c r="BF95" s="23"/>
      <c r="BG95" s="23"/>
      <c r="BH95" s="23"/>
    </row>
    <row r="96" spans="1:60" ht="12.75">
      <c r="A96" s="23"/>
      <c r="B96" s="23"/>
      <c r="C96" s="23"/>
      <c r="D96" s="23"/>
      <c r="E96" s="23"/>
      <c r="F96" s="23"/>
      <c r="G96" s="23"/>
      <c r="H96" s="23"/>
      <c r="I96" s="23"/>
      <c r="J96" s="23"/>
      <c r="K96" s="23"/>
      <c r="L96" s="23"/>
      <c r="M96" s="23"/>
      <c r="N96" s="23"/>
      <c r="O96" s="23"/>
      <c r="P96" s="23"/>
      <c r="Q96" s="23"/>
      <c r="R96" s="23"/>
      <c r="S96" s="23"/>
      <c r="T96" s="23"/>
      <c r="U96" s="23"/>
      <c r="V96" s="23"/>
      <c r="W96" s="23"/>
      <c r="X96" s="23"/>
      <c r="Y96" s="23"/>
      <c r="Z96" s="23"/>
      <c r="AA96" s="23"/>
      <c r="AB96" s="23"/>
      <c r="AC96" s="23"/>
      <c r="AD96" s="23"/>
      <c r="AE96" s="23"/>
      <c r="AF96" s="23"/>
      <c r="AG96" s="23"/>
      <c r="AH96" s="23"/>
      <c r="AI96" s="23"/>
      <c r="AJ96" s="23"/>
      <c r="AK96" s="23"/>
      <c r="AL96" s="23"/>
      <c r="AM96" s="23"/>
      <c r="AN96" s="23"/>
      <c r="AO96" s="23"/>
      <c r="AP96" s="23"/>
      <c r="AQ96" s="23"/>
      <c r="AR96" s="23"/>
      <c r="AS96" s="23"/>
      <c r="AT96" s="23"/>
      <c r="AU96" s="23"/>
      <c r="AV96" s="23"/>
      <c r="AW96" s="23"/>
      <c r="AX96" s="23"/>
      <c r="AY96" s="23"/>
      <c r="AZ96" s="23"/>
      <c r="BA96" s="23"/>
      <c r="BB96" s="23"/>
      <c r="BC96" s="23"/>
      <c r="BD96" s="23"/>
      <c r="BE96" s="23"/>
      <c r="BF96" s="23"/>
      <c r="BG96" s="23"/>
      <c r="BH96" s="23"/>
    </row>
    <row r="97" spans="7:60" ht="12.75">
      <c r="G97" s="23"/>
      <c r="H97" s="23"/>
      <c r="I97" s="23"/>
      <c r="J97" s="23"/>
      <c r="K97" s="23"/>
      <c r="L97" s="23"/>
      <c r="M97" s="23"/>
      <c r="N97" s="23"/>
      <c r="O97" s="23"/>
      <c r="P97" s="23"/>
      <c r="Q97" s="23"/>
      <c r="R97" s="23"/>
      <c r="S97" s="23"/>
      <c r="T97" s="23"/>
      <c r="U97" s="23"/>
      <c r="V97" s="23"/>
      <c r="W97" s="23"/>
      <c r="X97" s="23"/>
      <c r="Y97" s="23"/>
      <c r="Z97" s="23"/>
      <c r="AA97" s="23"/>
      <c r="AB97" s="23"/>
      <c r="AC97" s="23"/>
      <c r="AD97" s="23"/>
      <c r="AE97" s="23"/>
      <c r="AF97" s="23"/>
      <c r="AG97" s="23"/>
      <c r="AH97" s="23"/>
      <c r="AI97" s="23"/>
      <c r="AJ97" s="23"/>
      <c r="AK97" s="23"/>
      <c r="AL97" s="23"/>
      <c r="AM97" s="23"/>
      <c r="AN97" s="23"/>
      <c r="AO97" s="23"/>
      <c r="AP97" s="23"/>
      <c r="AQ97" s="23"/>
      <c r="AR97" s="23"/>
      <c r="AS97" s="23"/>
      <c r="AT97" s="23"/>
      <c r="AU97" s="23"/>
      <c r="AV97" s="23"/>
      <c r="AW97" s="23"/>
      <c r="AX97" s="23"/>
      <c r="AY97" s="23"/>
      <c r="AZ97" s="23"/>
      <c r="BA97" s="23"/>
      <c r="BB97" s="23"/>
      <c r="BC97" s="23"/>
      <c r="BD97" s="23"/>
      <c r="BE97" s="23"/>
      <c r="BF97" s="23"/>
      <c r="BG97" s="23"/>
      <c r="BH97" s="23"/>
    </row>
    <row r="98" spans="7:60" ht="12.75">
      <c r="G98" s="23"/>
      <c r="H98" s="23"/>
      <c r="I98" s="23"/>
      <c r="J98" s="23"/>
      <c r="K98" s="23"/>
      <c r="L98" s="23"/>
      <c r="M98" s="23"/>
      <c r="N98" s="23"/>
      <c r="O98" s="23"/>
      <c r="P98" s="23"/>
      <c r="Q98" s="23"/>
      <c r="R98" s="23"/>
      <c r="S98" s="23"/>
      <c r="T98" s="23"/>
      <c r="U98" s="23"/>
      <c r="V98" s="23"/>
      <c r="W98" s="23"/>
      <c r="X98" s="23"/>
      <c r="Y98" s="23"/>
      <c r="Z98" s="23"/>
      <c r="AA98" s="23"/>
      <c r="AB98" s="23"/>
      <c r="AC98" s="23"/>
      <c r="AD98" s="23"/>
      <c r="AE98" s="23"/>
      <c r="AF98" s="23"/>
      <c r="AG98" s="23"/>
      <c r="AH98" s="23"/>
      <c r="AI98" s="23"/>
      <c r="AJ98" s="23"/>
      <c r="AK98" s="23"/>
      <c r="AL98" s="23"/>
      <c r="AM98" s="23"/>
      <c r="AN98" s="23"/>
      <c r="AO98" s="23"/>
      <c r="AP98" s="23"/>
      <c r="AQ98" s="23"/>
      <c r="AR98" s="23"/>
      <c r="AS98" s="23"/>
      <c r="AT98" s="23"/>
      <c r="AU98" s="23"/>
      <c r="AV98" s="23"/>
      <c r="AW98" s="23"/>
      <c r="AX98" s="23"/>
      <c r="AY98" s="23"/>
      <c r="AZ98" s="23"/>
      <c r="BA98" s="23"/>
      <c r="BB98" s="23"/>
      <c r="BC98" s="23"/>
      <c r="BD98" s="23"/>
      <c r="BE98" s="23"/>
      <c r="BF98" s="23"/>
      <c r="BG98" s="23"/>
      <c r="BH98" s="23"/>
    </row>
    <row r="99" spans="7:60" ht="12.75">
      <c r="G99" s="23"/>
      <c r="H99" s="23"/>
      <c r="I99" s="23"/>
      <c r="J99" s="23"/>
      <c r="K99" s="23"/>
      <c r="L99" s="23"/>
      <c r="M99" s="23"/>
      <c r="N99" s="23"/>
      <c r="O99" s="23"/>
      <c r="P99" s="23"/>
      <c r="Q99" s="23"/>
      <c r="R99" s="23"/>
      <c r="S99" s="23"/>
      <c r="T99" s="23"/>
      <c r="U99" s="23"/>
      <c r="V99" s="23"/>
      <c r="W99" s="23"/>
      <c r="X99" s="23"/>
      <c r="Y99" s="23"/>
      <c r="Z99" s="23"/>
      <c r="AA99" s="23"/>
      <c r="AB99" s="23"/>
      <c r="AC99" s="23"/>
      <c r="AD99" s="23"/>
      <c r="AE99" s="23"/>
      <c r="AF99" s="23"/>
      <c r="AG99" s="23"/>
      <c r="AH99" s="23"/>
      <c r="AI99" s="23"/>
      <c r="AJ99" s="23"/>
      <c r="AK99" s="23"/>
      <c r="AL99" s="23"/>
      <c r="AM99" s="23"/>
      <c r="AN99" s="23"/>
      <c r="AO99" s="23"/>
      <c r="AP99" s="23"/>
      <c r="AQ99" s="23"/>
      <c r="AR99" s="23"/>
      <c r="AS99" s="23"/>
      <c r="AT99" s="23"/>
      <c r="AU99" s="23"/>
      <c r="AV99" s="23"/>
      <c r="AW99" s="23"/>
      <c r="AX99" s="23"/>
      <c r="AY99" s="23"/>
      <c r="AZ99" s="23"/>
      <c r="BA99" s="23"/>
      <c r="BB99" s="23"/>
      <c r="BC99" s="23"/>
      <c r="BD99" s="23"/>
      <c r="BE99" s="23"/>
      <c r="BF99" s="23"/>
      <c r="BG99" s="23"/>
      <c r="BH99" s="23"/>
    </row>
    <row r="100" spans="7:60" ht="12.75">
      <c r="G100" s="23"/>
      <c r="H100" s="23"/>
      <c r="I100" s="23"/>
      <c r="J100" s="23"/>
      <c r="K100" s="23"/>
      <c r="L100" s="23"/>
      <c r="M100" s="23"/>
      <c r="N100" s="23"/>
      <c r="O100" s="23"/>
      <c r="P100" s="23"/>
      <c r="Q100" s="23"/>
      <c r="R100" s="23"/>
      <c r="S100" s="23"/>
      <c r="T100" s="23"/>
      <c r="U100" s="23"/>
      <c r="V100" s="23"/>
      <c r="W100" s="23"/>
      <c r="X100" s="23"/>
      <c r="Y100" s="23"/>
      <c r="Z100" s="23"/>
      <c r="AA100" s="23"/>
      <c r="AB100" s="23"/>
      <c r="AC100" s="23"/>
      <c r="AD100" s="23"/>
      <c r="AE100" s="23"/>
      <c r="AF100" s="23"/>
      <c r="AG100" s="23"/>
      <c r="AH100" s="23"/>
      <c r="AI100" s="23"/>
      <c r="AJ100" s="23"/>
      <c r="AK100" s="23"/>
      <c r="AL100" s="23"/>
      <c r="AM100" s="23"/>
      <c r="AN100" s="23"/>
      <c r="AO100" s="23"/>
      <c r="AP100" s="23"/>
      <c r="AQ100" s="23"/>
      <c r="AR100" s="23"/>
      <c r="AS100" s="23"/>
      <c r="AT100" s="23"/>
      <c r="AU100" s="23"/>
      <c r="AV100" s="23"/>
      <c r="AW100" s="23"/>
      <c r="AX100" s="23"/>
      <c r="AY100" s="23"/>
      <c r="AZ100" s="23"/>
      <c r="BA100" s="23"/>
      <c r="BB100" s="23"/>
      <c r="BC100" s="23"/>
      <c r="BD100" s="23"/>
      <c r="BE100" s="23"/>
      <c r="BF100" s="23"/>
      <c r="BG100" s="23"/>
      <c r="BH100" s="23"/>
    </row>
    <row r="101" spans="7:60" ht="12.75">
      <c r="G101" s="23"/>
      <c r="H101" s="23"/>
      <c r="I101" s="23"/>
      <c r="J101" s="23"/>
      <c r="K101" s="23"/>
      <c r="L101" s="23"/>
      <c r="M101" s="23"/>
      <c r="N101" s="23"/>
      <c r="O101" s="23"/>
      <c r="P101" s="23"/>
      <c r="Q101" s="23"/>
      <c r="R101" s="23"/>
      <c r="S101" s="23"/>
      <c r="T101" s="23"/>
      <c r="U101" s="23"/>
      <c r="V101" s="23"/>
      <c r="W101" s="23"/>
      <c r="X101" s="23"/>
      <c r="Y101" s="23"/>
      <c r="Z101" s="23"/>
      <c r="AA101" s="23"/>
      <c r="AB101" s="23"/>
      <c r="AC101" s="23"/>
      <c r="AD101" s="23"/>
      <c r="AE101" s="23"/>
      <c r="AF101" s="23"/>
      <c r="AG101" s="23"/>
      <c r="AH101" s="23"/>
      <c r="AI101" s="23"/>
      <c r="AJ101" s="23"/>
      <c r="AK101" s="23"/>
      <c r="AL101" s="23"/>
      <c r="AM101" s="23"/>
      <c r="AN101" s="23"/>
      <c r="AO101" s="23"/>
      <c r="AP101" s="23"/>
      <c r="AQ101" s="23"/>
      <c r="AR101" s="23"/>
      <c r="AS101" s="23"/>
      <c r="AT101" s="23"/>
      <c r="AU101" s="23"/>
      <c r="AV101" s="23"/>
      <c r="AW101" s="23"/>
      <c r="AX101" s="23"/>
      <c r="AY101" s="23"/>
      <c r="AZ101" s="23"/>
      <c r="BA101" s="23"/>
      <c r="BB101" s="23"/>
      <c r="BC101" s="23"/>
      <c r="BD101" s="23"/>
      <c r="BE101" s="23"/>
      <c r="BF101" s="23"/>
      <c r="BG101" s="23"/>
      <c r="BH101" s="23"/>
    </row>
    <row r="102" spans="7:60" ht="12.75">
      <c r="G102" s="23"/>
      <c r="H102" s="23"/>
      <c r="I102" s="23"/>
      <c r="J102" s="23"/>
      <c r="K102" s="23"/>
      <c r="L102" s="23"/>
      <c r="M102" s="23"/>
      <c r="N102" s="23"/>
      <c r="O102" s="23"/>
      <c r="P102" s="23"/>
      <c r="Q102" s="23"/>
      <c r="R102" s="23"/>
      <c r="S102" s="23"/>
      <c r="T102" s="23"/>
      <c r="U102" s="23"/>
      <c r="V102" s="23"/>
      <c r="W102" s="23"/>
      <c r="X102" s="23"/>
      <c r="Y102" s="23"/>
      <c r="Z102" s="23"/>
      <c r="AA102" s="23"/>
      <c r="AB102" s="23"/>
      <c r="AC102" s="23"/>
      <c r="AD102" s="23"/>
      <c r="AE102" s="23"/>
      <c r="AF102" s="23"/>
      <c r="AG102" s="23"/>
      <c r="AH102" s="23"/>
      <c r="AI102" s="23"/>
      <c r="AJ102" s="23"/>
      <c r="AK102" s="23"/>
      <c r="AL102" s="23"/>
      <c r="AM102" s="23"/>
      <c r="AN102" s="23"/>
      <c r="AO102" s="23"/>
      <c r="AP102" s="23"/>
      <c r="AQ102" s="23"/>
      <c r="AR102" s="23"/>
      <c r="AS102" s="23"/>
      <c r="AT102" s="23"/>
      <c r="AU102" s="23"/>
      <c r="AV102" s="23"/>
      <c r="AW102" s="23"/>
      <c r="AX102" s="23"/>
      <c r="AY102" s="23"/>
      <c r="AZ102" s="23"/>
      <c r="BA102" s="23"/>
      <c r="BB102" s="23"/>
      <c r="BC102" s="23"/>
      <c r="BD102" s="23"/>
      <c r="BE102" s="23"/>
      <c r="BF102" s="23"/>
      <c r="BG102" s="23"/>
      <c r="BH102" s="23"/>
    </row>
    <row r="103" spans="7:60" ht="12.75">
      <c r="G103" s="23"/>
      <c r="H103" s="23"/>
      <c r="I103" s="23"/>
      <c r="J103" s="23"/>
      <c r="K103" s="23"/>
      <c r="L103" s="23"/>
      <c r="M103" s="23"/>
      <c r="N103" s="23"/>
      <c r="O103" s="23"/>
      <c r="P103" s="23"/>
      <c r="Q103" s="23"/>
      <c r="R103" s="23"/>
      <c r="S103" s="23"/>
      <c r="T103" s="23"/>
      <c r="U103" s="23"/>
      <c r="V103" s="23"/>
      <c r="W103" s="23"/>
      <c r="X103" s="23"/>
      <c r="Y103" s="23"/>
      <c r="Z103" s="23"/>
      <c r="AA103" s="23"/>
      <c r="AB103" s="23"/>
      <c r="AC103" s="23"/>
      <c r="AD103" s="23"/>
      <c r="AE103" s="23"/>
      <c r="AF103" s="23"/>
      <c r="AG103" s="23"/>
      <c r="AH103" s="23"/>
      <c r="AI103" s="23"/>
      <c r="AJ103" s="23"/>
      <c r="AK103" s="23"/>
      <c r="AL103" s="23"/>
      <c r="AM103" s="23"/>
      <c r="AN103" s="23"/>
      <c r="AO103" s="23"/>
      <c r="AP103" s="23"/>
      <c r="AQ103" s="23"/>
      <c r="AR103" s="23"/>
      <c r="AS103" s="23"/>
      <c r="AT103" s="23"/>
      <c r="AU103" s="23"/>
      <c r="AV103" s="23"/>
      <c r="AW103" s="23"/>
      <c r="AX103" s="23"/>
      <c r="AY103" s="23"/>
      <c r="AZ103" s="23"/>
      <c r="BA103" s="23"/>
      <c r="BB103" s="23"/>
      <c r="BC103" s="23"/>
      <c r="BD103" s="23"/>
      <c r="BE103" s="23"/>
      <c r="BF103" s="23"/>
      <c r="BG103" s="23"/>
      <c r="BH103" s="23"/>
    </row>
    <row r="104" spans="7:60" ht="12.75">
      <c r="G104" s="23"/>
      <c r="H104" s="23"/>
      <c r="I104" s="23"/>
      <c r="J104" s="23"/>
      <c r="K104" s="23"/>
      <c r="L104" s="23"/>
      <c r="M104" s="23"/>
      <c r="N104" s="23"/>
      <c r="O104" s="23"/>
      <c r="P104" s="23"/>
      <c r="Q104" s="23"/>
      <c r="R104" s="23"/>
      <c r="S104" s="23"/>
      <c r="T104" s="23"/>
      <c r="U104" s="23"/>
      <c r="V104" s="23"/>
      <c r="W104" s="23"/>
      <c r="X104" s="23"/>
      <c r="Y104" s="23"/>
      <c r="Z104" s="23"/>
      <c r="AA104" s="23"/>
      <c r="AB104" s="23"/>
      <c r="AC104" s="23"/>
      <c r="AD104" s="23"/>
      <c r="AE104" s="23"/>
      <c r="AF104" s="23"/>
      <c r="AG104" s="23"/>
      <c r="AH104" s="23"/>
      <c r="AI104" s="23"/>
      <c r="AJ104" s="23"/>
      <c r="AK104" s="23"/>
      <c r="AL104" s="23"/>
      <c r="AM104" s="23"/>
      <c r="AN104" s="23"/>
      <c r="AO104" s="23"/>
      <c r="AP104" s="23"/>
      <c r="AQ104" s="23"/>
      <c r="AR104" s="23"/>
      <c r="AS104" s="23"/>
      <c r="AT104" s="23"/>
      <c r="AU104" s="23"/>
      <c r="AV104" s="23"/>
      <c r="AW104" s="23"/>
      <c r="AX104" s="23"/>
      <c r="AY104" s="23"/>
      <c r="AZ104" s="23"/>
      <c r="BA104" s="23"/>
      <c r="BB104" s="23"/>
      <c r="BC104" s="23"/>
      <c r="BD104" s="23"/>
      <c r="BE104" s="23"/>
      <c r="BF104" s="23"/>
      <c r="BG104" s="23"/>
      <c r="BH104" s="23"/>
    </row>
    <row r="105" spans="7:60" ht="12.75">
      <c r="G105" s="23"/>
      <c r="H105" s="23"/>
      <c r="I105" s="23"/>
      <c r="J105" s="23"/>
      <c r="K105" s="23"/>
      <c r="L105" s="23"/>
      <c r="M105" s="23"/>
      <c r="N105" s="23"/>
      <c r="O105" s="23"/>
      <c r="P105" s="23"/>
      <c r="Q105" s="23"/>
      <c r="R105" s="23"/>
      <c r="S105" s="23"/>
      <c r="T105" s="23"/>
      <c r="U105" s="23"/>
      <c r="V105" s="23"/>
      <c r="W105" s="23"/>
      <c r="X105" s="23"/>
      <c r="Y105" s="23"/>
      <c r="Z105" s="23"/>
      <c r="AA105" s="23"/>
      <c r="AB105" s="23"/>
      <c r="AC105" s="23"/>
      <c r="AD105" s="23"/>
      <c r="AE105" s="23"/>
      <c r="AF105" s="23"/>
      <c r="AG105" s="23"/>
      <c r="AH105" s="23"/>
      <c r="AI105" s="23"/>
      <c r="AJ105" s="23"/>
      <c r="AK105" s="23"/>
      <c r="AL105" s="23"/>
      <c r="AM105" s="23"/>
      <c r="AN105" s="23"/>
      <c r="AO105" s="23"/>
      <c r="AP105" s="23"/>
      <c r="AQ105" s="23"/>
      <c r="AR105" s="23"/>
      <c r="AS105" s="23"/>
      <c r="AT105" s="23"/>
      <c r="AU105" s="23"/>
      <c r="AV105" s="23"/>
      <c r="AW105" s="23"/>
      <c r="AX105" s="23"/>
      <c r="AY105" s="23"/>
      <c r="AZ105" s="23"/>
      <c r="BA105" s="23"/>
      <c r="BB105" s="23"/>
      <c r="BC105" s="23"/>
      <c r="BD105" s="23"/>
      <c r="BE105" s="23"/>
      <c r="BF105" s="23"/>
      <c r="BG105" s="23"/>
      <c r="BH105" s="23"/>
    </row>
    <row r="106" spans="7:60" ht="12.75">
      <c r="G106" s="23"/>
      <c r="H106" s="23"/>
      <c r="I106" s="23"/>
      <c r="J106" s="23"/>
      <c r="K106" s="23"/>
      <c r="L106" s="23"/>
      <c r="M106" s="23"/>
      <c r="N106" s="23"/>
      <c r="O106" s="23"/>
      <c r="P106" s="23"/>
      <c r="Q106" s="23"/>
      <c r="R106" s="23"/>
      <c r="S106" s="23"/>
      <c r="T106" s="23"/>
      <c r="U106" s="23"/>
      <c r="V106" s="23"/>
      <c r="W106" s="23"/>
      <c r="X106" s="23"/>
      <c r="Y106" s="23"/>
      <c r="Z106" s="23"/>
      <c r="AA106" s="23"/>
      <c r="AB106" s="23"/>
      <c r="AC106" s="23"/>
      <c r="AD106" s="23"/>
      <c r="AE106" s="23"/>
      <c r="AF106" s="23"/>
      <c r="AG106" s="23"/>
      <c r="AH106" s="23"/>
      <c r="AI106" s="23"/>
      <c r="AJ106" s="23"/>
      <c r="AK106" s="23"/>
      <c r="AL106" s="23"/>
      <c r="AM106" s="23"/>
      <c r="AN106" s="23"/>
      <c r="AO106" s="23"/>
      <c r="AP106" s="23"/>
      <c r="AQ106" s="23"/>
      <c r="AR106" s="23"/>
      <c r="AS106" s="23"/>
      <c r="AT106" s="23"/>
      <c r="AU106" s="23"/>
      <c r="AV106" s="23"/>
      <c r="AW106" s="23"/>
      <c r="AX106" s="23"/>
      <c r="AY106" s="23"/>
      <c r="AZ106" s="23"/>
      <c r="BA106" s="23"/>
      <c r="BB106" s="23"/>
      <c r="BC106" s="23"/>
      <c r="BD106" s="23"/>
      <c r="BE106" s="23"/>
      <c r="BF106" s="23"/>
      <c r="BG106" s="23"/>
      <c r="BH106" s="23"/>
    </row>
    <row r="107" spans="7:60" ht="12.75">
      <c r="G107" s="23"/>
      <c r="H107" s="23"/>
      <c r="I107" s="23"/>
      <c r="J107" s="23"/>
      <c r="K107" s="23"/>
      <c r="L107" s="23"/>
      <c r="M107" s="23"/>
      <c r="N107" s="23"/>
      <c r="O107" s="23"/>
      <c r="P107" s="23"/>
      <c r="Q107" s="23"/>
      <c r="R107" s="23"/>
      <c r="S107" s="23"/>
      <c r="T107" s="23"/>
      <c r="U107" s="23"/>
      <c r="V107" s="23"/>
      <c r="W107" s="23"/>
      <c r="X107" s="23"/>
      <c r="Y107" s="23"/>
      <c r="Z107" s="23"/>
      <c r="AA107" s="23"/>
      <c r="AB107" s="23"/>
      <c r="AC107" s="23"/>
      <c r="AD107" s="23"/>
      <c r="AE107" s="23"/>
      <c r="AF107" s="23"/>
      <c r="AG107" s="23"/>
      <c r="AH107" s="23"/>
      <c r="AI107" s="23"/>
      <c r="AJ107" s="23"/>
      <c r="AK107" s="23"/>
      <c r="AL107" s="23"/>
      <c r="AM107" s="23"/>
      <c r="AN107" s="23"/>
      <c r="AO107" s="23"/>
      <c r="AP107" s="23"/>
      <c r="AQ107" s="23"/>
      <c r="AR107" s="23"/>
      <c r="AS107" s="23"/>
      <c r="AT107" s="23"/>
      <c r="AU107" s="23"/>
      <c r="AV107" s="23"/>
      <c r="AW107" s="23"/>
      <c r="AX107" s="23"/>
      <c r="AY107" s="23"/>
      <c r="AZ107" s="23"/>
      <c r="BA107" s="23"/>
      <c r="BB107" s="23"/>
      <c r="BC107" s="23"/>
      <c r="BD107" s="23"/>
      <c r="BE107" s="23"/>
      <c r="BF107" s="23"/>
      <c r="BG107" s="23"/>
      <c r="BH107" s="23"/>
    </row>
    <row r="108" spans="7:60" ht="12.75">
      <c r="G108" s="23"/>
      <c r="H108" s="23"/>
      <c r="I108" s="23"/>
      <c r="J108" s="23"/>
      <c r="K108" s="23"/>
      <c r="L108" s="23"/>
      <c r="M108" s="23"/>
      <c r="N108" s="23"/>
      <c r="O108" s="23"/>
      <c r="P108" s="23"/>
      <c r="Q108" s="23"/>
      <c r="R108" s="23"/>
      <c r="S108" s="23"/>
      <c r="T108" s="23"/>
      <c r="U108" s="23"/>
      <c r="V108" s="23"/>
      <c r="W108" s="23"/>
      <c r="X108" s="23"/>
      <c r="Y108" s="23"/>
      <c r="Z108" s="23"/>
      <c r="AA108" s="23"/>
      <c r="AB108" s="23"/>
      <c r="AC108" s="23"/>
      <c r="AD108" s="23"/>
      <c r="AE108" s="23"/>
      <c r="AF108" s="23"/>
      <c r="AG108" s="23"/>
      <c r="AH108" s="23"/>
      <c r="AI108" s="23"/>
      <c r="AJ108" s="23"/>
      <c r="AK108" s="23"/>
      <c r="AL108" s="23"/>
      <c r="AM108" s="23"/>
      <c r="AN108" s="23"/>
      <c r="AO108" s="23"/>
      <c r="AP108" s="23"/>
      <c r="AQ108" s="23"/>
      <c r="AR108" s="23"/>
      <c r="AS108" s="23"/>
      <c r="AT108" s="23"/>
      <c r="AU108" s="23"/>
      <c r="AV108" s="23"/>
      <c r="AW108" s="23"/>
      <c r="AX108" s="23"/>
      <c r="AY108" s="23"/>
      <c r="AZ108" s="23"/>
      <c r="BA108" s="23"/>
      <c r="BB108" s="23"/>
      <c r="BC108" s="23"/>
      <c r="BD108" s="23"/>
      <c r="BE108" s="23"/>
      <c r="BF108" s="23"/>
      <c r="BG108" s="23"/>
      <c r="BH108" s="23"/>
    </row>
    <row r="109" spans="7:60" ht="12.75">
      <c r="G109" s="23"/>
      <c r="H109" s="23"/>
      <c r="I109" s="23"/>
      <c r="J109" s="23"/>
      <c r="K109" s="23"/>
      <c r="L109" s="23"/>
      <c r="M109" s="23"/>
      <c r="N109" s="23"/>
      <c r="O109" s="23"/>
      <c r="P109" s="23"/>
      <c r="Q109" s="23"/>
      <c r="R109" s="23"/>
      <c r="S109" s="23"/>
      <c r="T109" s="23"/>
      <c r="U109" s="23"/>
      <c r="V109" s="23"/>
      <c r="W109" s="23"/>
      <c r="X109" s="23"/>
      <c r="Y109" s="23"/>
      <c r="Z109" s="23"/>
      <c r="AA109" s="23"/>
      <c r="AB109" s="23"/>
      <c r="AC109" s="23"/>
      <c r="AD109" s="23"/>
      <c r="AE109" s="23"/>
      <c r="AF109" s="23"/>
      <c r="AG109" s="23"/>
      <c r="AH109" s="23"/>
      <c r="AI109" s="23"/>
      <c r="AJ109" s="23"/>
      <c r="AK109" s="23"/>
      <c r="AL109" s="23"/>
      <c r="AM109" s="23"/>
      <c r="AN109" s="23"/>
      <c r="AO109" s="23"/>
      <c r="AP109" s="23"/>
      <c r="AQ109" s="23"/>
      <c r="AR109" s="23"/>
      <c r="AS109" s="23"/>
      <c r="AT109" s="23"/>
      <c r="AU109" s="23"/>
      <c r="AV109" s="23"/>
      <c r="AW109" s="23"/>
      <c r="AX109" s="23"/>
      <c r="AY109" s="23"/>
      <c r="AZ109" s="23"/>
      <c r="BA109" s="23"/>
      <c r="BB109" s="23"/>
      <c r="BC109" s="23"/>
      <c r="BD109" s="23"/>
      <c r="BE109" s="23"/>
      <c r="BF109" s="23"/>
      <c r="BG109" s="23"/>
      <c r="BH109" s="23"/>
    </row>
    <row r="110" spans="7:60" ht="12.75">
      <c r="G110" s="23"/>
      <c r="H110" s="23"/>
      <c r="I110" s="23"/>
      <c r="J110" s="23"/>
      <c r="K110" s="23"/>
      <c r="L110" s="23"/>
      <c r="M110" s="23"/>
      <c r="N110" s="23"/>
      <c r="O110" s="23"/>
      <c r="P110" s="23"/>
      <c r="Q110" s="23"/>
      <c r="R110" s="23"/>
      <c r="S110" s="23"/>
      <c r="T110" s="23"/>
      <c r="U110" s="23"/>
      <c r="AA110" s="23"/>
      <c r="AB110" s="23"/>
      <c r="AC110" s="23"/>
      <c r="AD110" s="23"/>
      <c r="AE110" s="23"/>
      <c r="AF110" s="23"/>
      <c r="AG110" s="23"/>
      <c r="AH110" s="23"/>
      <c r="AI110" s="23"/>
      <c r="AJ110" s="23"/>
      <c r="AK110" s="23"/>
      <c r="AL110" s="23"/>
      <c r="AM110" s="23"/>
      <c r="AN110" s="23"/>
      <c r="AO110" s="23"/>
      <c r="AP110" s="23"/>
      <c r="AQ110" s="23"/>
      <c r="AR110" s="23"/>
      <c r="AS110" s="23"/>
      <c r="AT110" s="23"/>
      <c r="AU110" s="23"/>
      <c r="AV110" s="23"/>
      <c r="AW110" s="23"/>
      <c r="AX110" s="23"/>
      <c r="AY110" s="23"/>
      <c r="AZ110" s="23"/>
      <c r="BA110" s="23"/>
      <c r="BB110" s="23"/>
      <c r="BC110" s="23"/>
      <c r="BD110" s="23"/>
      <c r="BE110" s="23"/>
      <c r="BF110" s="23"/>
      <c r="BG110" s="23"/>
      <c r="BH110" s="23"/>
    </row>
    <row r="111" spans="7:60" ht="12.75">
      <c r="G111" s="23"/>
      <c r="H111" s="23"/>
      <c r="I111" s="23"/>
      <c r="J111" s="23"/>
      <c r="K111" s="23"/>
      <c r="L111" s="23"/>
      <c r="M111" s="23"/>
      <c r="N111" s="23"/>
      <c r="O111" s="23"/>
      <c r="P111" s="23"/>
      <c r="Q111" s="23"/>
      <c r="R111" s="23"/>
      <c r="AA111" s="23"/>
      <c r="AB111" s="23"/>
      <c r="AC111" s="23"/>
      <c r="AD111" s="23"/>
      <c r="AE111" s="23"/>
      <c r="AF111" s="23"/>
      <c r="AG111" s="23"/>
      <c r="AH111" s="23"/>
      <c r="AI111" s="23"/>
      <c r="AJ111" s="23"/>
      <c r="AK111" s="23"/>
      <c r="AL111" s="23"/>
      <c r="AM111" s="23"/>
      <c r="AN111" s="23"/>
      <c r="AO111" s="23"/>
      <c r="AP111" s="23"/>
      <c r="AQ111" s="23"/>
      <c r="AR111" s="23"/>
      <c r="AS111" s="23"/>
      <c r="AT111" s="23"/>
      <c r="AU111" s="23"/>
      <c r="AV111" s="23"/>
      <c r="AW111" s="23"/>
      <c r="AX111" s="23"/>
      <c r="AY111" s="23"/>
      <c r="AZ111" s="23"/>
      <c r="BA111" s="23"/>
      <c r="BB111" s="23"/>
      <c r="BC111" s="23"/>
      <c r="BD111" s="23"/>
      <c r="BE111" s="23"/>
      <c r="BF111" s="23"/>
      <c r="BG111" s="23"/>
      <c r="BH111" s="23"/>
    </row>
    <row r="112" spans="7:60" ht="12.75">
      <c r="L112" s="23"/>
      <c r="M112" s="23"/>
      <c r="N112" s="23"/>
      <c r="O112" s="23"/>
      <c r="P112" s="23"/>
      <c r="Q112" s="23"/>
      <c r="R112" s="23"/>
      <c r="AA112" s="23"/>
      <c r="AB112" s="23"/>
      <c r="AC112" s="23"/>
      <c r="AD112" s="23"/>
      <c r="AE112" s="23"/>
      <c r="AF112" s="23"/>
      <c r="AG112" s="23"/>
      <c r="AH112" s="23"/>
      <c r="AI112" s="23"/>
      <c r="AJ112" s="23"/>
      <c r="AK112" s="23"/>
      <c r="AL112" s="23"/>
      <c r="AM112" s="23"/>
      <c r="AN112" s="23"/>
      <c r="AO112" s="23"/>
      <c r="AP112" s="23"/>
      <c r="AQ112" s="23"/>
      <c r="AR112" s="23"/>
      <c r="AS112" s="23"/>
      <c r="AT112" s="23"/>
      <c r="AU112" s="23"/>
      <c r="AV112" s="23"/>
      <c r="AW112" s="23"/>
      <c r="AX112" s="23"/>
      <c r="AY112" s="23"/>
      <c r="AZ112" s="23"/>
      <c r="BA112" s="23"/>
      <c r="BB112" s="23"/>
      <c r="BC112" s="23"/>
      <c r="BD112" s="23"/>
      <c r="BE112" s="23"/>
      <c r="BF112" s="23"/>
      <c r="BG112" s="23"/>
      <c r="BH112" s="23"/>
    </row>
    <row r="113" spans="12:60" ht="12.75">
      <c r="L113" s="23"/>
      <c r="M113" s="23"/>
      <c r="N113" s="23"/>
      <c r="O113" s="23"/>
      <c r="P113" s="23"/>
      <c r="Q113" s="23"/>
      <c r="R113" s="23"/>
      <c r="AA113" s="23"/>
      <c r="AB113" s="23"/>
      <c r="AC113" s="23"/>
      <c r="AD113" s="23"/>
      <c r="AE113" s="23"/>
      <c r="AF113" s="23"/>
      <c r="AG113" s="23"/>
      <c r="AH113" s="23"/>
      <c r="AI113" s="23"/>
      <c r="AJ113" s="23"/>
      <c r="AK113" s="23"/>
      <c r="AL113" s="23"/>
      <c r="AM113" s="23"/>
      <c r="AN113" s="23"/>
      <c r="AO113" s="23"/>
      <c r="AP113" s="23"/>
      <c r="AQ113" s="23"/>
      <c r="AR113" s="23"/>
      <c r="AS113" s="23"/>
      <c r="AT113" s="23"/>
      <c r="AU113" s="23"/>
      <c r="AV113" s="23"/>
      <c r="AW113" s="23"/>
      <c r="AX113" s="23"/>
      <c r="AY113" s="23"/>
      <c r="AZ113" s="23"/>
      <c r="BA113" s="23"/>
      <c r="BB113" s="23"/>
      <c r="BC113" s="23"/>
      <c r="BD113" s="23"/>
      <c r="BE113" s="23"/>
      <c r="BF113" s="23"/>
      <c r="BG113" s="23"/>
      <c r="BH113" s="23"/>
    </row>
    <row r="114" spans="12:60" ht="12.75">
      <c r="M114" s="23"/>
      <c r="N114" s="23"/>
      <c r="O114" s="23"/>
      <c r="P114" s="23"/>
    </row>
  </sheetData>
  <sheetProtection sheet="1" objects="1" scenarios="1"/>
  <mergeCells count="8">
    <mergeCell ref="E2:E4"/>
    <mergeCell ref="E45:E46"/>
    <mergeCell ref="E28:E30"/>
    <mergeCell ref="E16:E18"/>
    <mergeCell ref="A45:A46"/>
    <mergeCell ref="B45:B46"/>
    <mergeCell ref="C45:C46"/>
    <mergeCell ref="D45:D46"/>
  </mergeCells>
  <dataValidations count="2">
    <dataValidation type="decimal" operator="greaterThanOrEqual" allowBlank="1" showInputMessage="1" showErrorMessage="1" sqref="E23 B32:D36 B20:D23 B6:D13">
      <formula1>0</formula1>
    </dataValidation>
    <dataValidation type="decimal" operator="greaterThanOrEqual" allowBlank="1" showInputMessage="1" showErrorMessage="1" error="Input number &gt;= 0" sqref="B47:C61">
      <formula1>0</formula1>
    </dataValidation>
  </dataValidations>
  <pageMargins left="0.70866141732283472" right="0.70866141732283472" top="0.74803149606299213" bottom="0.74803149606299213" header="0.31496062992125984" footer="0.31496062992125984"/>
  <pageSetup paperSize="9" scale="95" orientation="portrait" r:id="rId1"/>
  <headerFooter>
    <oddHeader>&amp;L&amp;"+,Bold"&amp;13Tools for Demographic Estimation&amp;R&amp;"+,Bold"&amp;13Orphanhood before &amp;&amp; since 1st marriage</oddHeader>
    <oddFooter>&amp;L&amp;"+,Regular"&amp;12&amp;F&amp;R&amp;"+,Regular"&amp;12&amp;D  &amp;T</oddFooter>
  </headerFooter>
  <rowBreaks count="1" manualBreakCount="1">
    <brk id="37" max="16383" man="1"/>
  </rowBreaks>
  <colBreaks count="2" manualBreakCount="2">
    <brk id="11" max="1048575" man="1"/>
    <brk id="20" max="1048575" man="1"/>
  </col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9" tint="0.59999389629810485"/>
    <pageSetUpPr fitToPage="1"/>
  </sheetPr>
  <dimension ref="A1:I40"/>
  <sheetViews>
    <sheetView showGridLines="0" showRowColHeaders="0" zoomScaleNormal="100" workbookViewId="0">
      <selection activeCell="Q5" sqref="Q5"/>
    </sheetView>
  </sheetViews>
  <sheetFormatPr defaultColWidth="8.875" defaultRowHeight="12"/>
  <sheetData>
    <row r="1" spans="1:9">
      <c r="A1" s="102"/>
      <c r="B1" s="102"/>
      <c r="C1" s="102"/>
      <c r="D1" s="102"/>
      <c r="E1" s="102"/>
      <c r="F1" s="102"/>
      <c r="G1" s="102"/>
      <c r="H1" s="102"/>
      <c r="I1" s="102"/>
    </row>
    <row r="2" spans="1:9">
      <c r="A2" s="102"/>
      <c r="B2" s="102"/>
      <c r="C2" s="102"/>
      <c r="D2" s="102"/>
      <c r="E2" s="102"/>
      <c r="F2" s="102"/>
      <c r="G2" s="102"/>
      <c r="H2" s="102"/>
      <c r="I2" s="102"/>
    </row>
    <row r="3" spans="1:9">
      <c r="A3" s="102"/>
      <c r="B3" s="102"/>
      <c r="C3" s="102"/>
      <c r="D3" s="102"/>
      <c r="E3" s="102"/>
      <c r="F3" s="102"/>
      <c r="G3" s="102"/>
      <c r="H3" s="102"/>
      <c r="I3" s="102"/>
    </row>
    <row r="4" spans="1:9">
      <c r="A4" s="102"/>
      <c r="B4" s="102"/>
      <c r="C4" s="102"/>
      <c r="D4" s="102"/>
      <c r="E4" s="102"/>
      <c r="F4" s="102"/>
      <c r="G4" s="102"/>
      <c r="H4" s="102"/>
      <c r="I4" s="102"/>
    </row>
    <row r="5" spans="1:9">
      <c r="A5" s="102"/>
      <c r="B5" s="102"/>
      <c r="C5" s="102"/>
      <c r="D5" s="102"/>
      <c r="E5" s="102"/>
      <c r="F5" s="102"/>
      <c r="G5" s="102"/>
      <c r="H5" s="102"/>
      <c r="I5" s="102"/>
    </row>
    <row r="6" spans="1:9">
      <c r="A6" s="102"/>
      <c r="B6" s="102"/>
      <c r="C6" s="102"/>
      <c r="D6" s="102"/>
      <c r="E6" s="102"/>
      <c r="F6" s="102"/>
      <c r="G6" s="102"/>
      <c r="H6" s="102"/>
      <c r="I6" s="102"/>
    </row>
    <row r="7" spans="1:9">
      <c r="A7" s="102"/>
      <c r="B7" s="102"/>
      <c r="C7" s="102"/>
      <c r="D7" s="102"/>
      <c r="E7" s="102"/>
      <c r="F7" s="102"/>
      <c r="G7" s="102"/>
      <c r="H7" s="102"/>
      <c r="I7" s="102"/>
    </row>
    <row r="8" spans="1:9">
      <c r="A8" s="102"/>
      <c r="B8" s="102"/>
      <c r="C8" s="102"/>
      <c r="D8" s="102"/>
      <c r="E8" s="102"/>
      <c r="F8" s="102"/>
      <c r="G8" s="102"/>
      <c r="H8" s="102"/>
      <c r="I8" s="102"/>
    </row>
    <row r="9" spans="1:9">
      <c r="A9" s="102"/>
      <c r="B9" s="102"/>
      <c r="C9" s="102"/>
      <c r="D9" s="102"/>
      <c r="E9" s="102"/>
      <c r="F9" s="102"/>
      <c r="G9" s="102"/>
      <c r="H9" s="102"/>
      <c r="I9" s="102"/>
    </row>
    <row r="10" spans="1:9">
      <c r="A10" s="102"/>
      <c r="B10" s="102"/>
      <c r="C10" s="102"/>
      <c r="D10" s="102"/>
      <c r="E10" s="102"/>
      <c r="F10" s="102"/>
      <c r="G10" s="102"/>
      <c r="H10" s="102"/>
      <c r="I10" s="102"/>
    </row>
    <row r="11" spans="1:9">
      <c r="A11" s="102"/>
      <c r="B11" s="102"/>
      <c r="C11" s="102"/>
      <c r="D11" s="102"/>
      <c r="E11" s="102"/>
      <c r="F11" s="102"/>
      <c r="G11" s="102"/>
      <c r="H11" s="102"/>
      <c r="I11" s="102"/>
    </row>
    <row r="12" spans="1:9">
      <c r="A12" s="102"/>
      <c r="B12" s="102"/>
      <c r="C12" s="102"/>
      <c r="D12" s="102"/>
      <c r="E12" s="102"/>
      <c r="F12" s="102"/>
      <c r="G12" s="102"/>
      <c r="H12" s="102"/>
      <c r="I12" s="102"/>
    </row>
    <row r="13" spans="1:9">
      <c r="A13" s="102"/>
      <c r="B13" s="102"/>
      <c r="C13" s="102"/>
      <c r="D13" s="102"/>
      <c r="E13" s="102"/>
      <c r="F13" s="102"/>
      <c r="G13" s="102"/>
      <c r="H13" s="102"/>
      <c r="I13" s="102"/>
    </row>
    <row r="14" spans="1:9">
      <c r="A14" s="102"/>
      <c r="B14" s="102"/>
      <c r="C14" s="102"/>
      <c r="D14" s="102"/>
      <c r="E14" s="102"/>
      <c r="F14" s="102"/>
      <c r="G14" s="102"/>
      <c r="H14" s="102"/>
      <c r="I14" s="102"/>
    </row>
    <row r="15" spans="1:9">
      <c r="A15" s="102"/>
      <c r="B15" s="102"/>
      <c r="C15" s="102"/>
      <c r="D15" s="102"/>
      <c r="E15" s="102"/>
      <c r="F15" s="102"/>
      <c r="G15" s="102"/>
      <c r="H15" s="102"/>
      <c r="I15" s="102"/>
    </row>
    <row r="16" spans="1:9">
      <c r="A16" s="102"/>
      <c r="B16" s="102"/>
      <c r="C16" s="102"/>
      <c r="D16" s="102"/>
      <c r="E16" s="102"/>
      <c r="F16" s="102"/>
      <c r="G16" s="102"/>
      <c r="H16" s="102"/>
      <c r="I16" s="102"/>
    </row>
    <row r="17" spans="1:9">
      <c r="A17" s="102"/>
      <c r="B17" s="102"/>
      <c r="C17" s="102"/>
      <c r="D17" s="102"/>
      <c r="E17" s="102"/>
      <c r="F17" s="102"/>
      <c r="G17" s="102"/>
      <c r="H17" s="102"/>
      <c r="I17" s="102"/>
    </row>
    <row r="18" spans="1:9">
      <c r="A18" s="102"/>
      <c r="B18" s="102"/>
      <c r="C18" s="102"/>
      <c r="D18" s="102"/>
      <c r="E18" s="102"/>
      <c r="F18" s="102"/>
      <c r="G18" s="102"/>
      <c r="H18" s="102"/>
      <c r="I18" s="102"/>
    </row>
    <row r="19" spans="1:9">
      <c r="A19" s="102"/>
      <c r="B19" s="102"/>
      <c r="C19" s="102"/>
      <c r="D19" s="102"/>
      <c r="E19" s="102"/>
      <c r="F19" s="102"/>
      <c r="G19" s="102"/>
      <c r="H19" s="102"/>
      <c r="I19" s="102"/>
    </row>
    <row r="20" spans="1:9">
      <c r="A20" s="102"/>
      <c r="B20" s="102"/>
      <c r="C20" s="102"/>
      <c r="D20" s="102"/>
      <c r="E20" s="102"/>
      <c r="F20" s="102"/>
      <c r="G20" s="102"/>
      <c r="H20" s="102"/>
      <c r="I20" s="102"/>
    </row>
    <row r="21" spans="1:9">
      <c r="A21" s="102"/>
      <c r="B21" s="102"/>
      <c r="C21" s="102"/>
      <c r="D21" s="102"/>
      <c r="E21" s="102"/>
      <c r="F21" s="102"/>
      <c r="G21" s="102"/>
      <c r="H21" s="102"/>
      <c r="I21" s="102"/>
    </row>
    <row r="22" spans="1:9">
      <c r="A22" s="102"/>
      <c r="B22" s="102"/>
      <c r="C22" s="102"/>
      <c r="D22" s="102"/>
      <c r="E22" s="102"/>
      <c r="F22" s="102"/>
      <c r="G22" s="102"/>
      <c r="H22" s="102"/>
      <c r="I22" s="102"/>
    </row>
    <row r="23" spans="1:9">
      <c r="A23" s="102"/>
      <c r="B23" s="102"/>
      <c r="C23" s="102"/>
      <c r="D23" s="102"/>
      <c r="E23" s="102"/>
      <c r="F23" s="102"/>
      <c r="G23" s="102"/>
      <c r="H23" s="102"/>
      <c r="I23" s="102"/>
    </row>
    <row r="24" spans="1:9">
      <c r="A24" s="102"/>
      <c r="B24" s="102"/>
      <c r="C24" s="102"/>
      <c r="D24" s="102"/>
      <c r="E24" s="102"/>
      <c r="F24" s="102"/>
      <c r="G24" s="102"/>
      <c r="H24" s="102"/>
      <c r="I24" s="102"/>
    </row>
    <row r="25" spans="1:9">
      <c r="A25" s="102"/>
      <c r="B25" s="102"/>
      <c r="C25" s="102"/>
      <c r="D25" s="102"/>
      <c r="E25" s="102"/>
      <c r="F25" s="102"/>
      <c r="G25" s="102"/>
      <c r="H25" s="102"/>
      <c r="I25" s="102"/>
    </row>
    <row r="26" spans="1:9">
      <c r="A26" s="102"/>
      <c r="B26" s="102"/>
      <c r="C26" s="102"/>
      <c r="D26" s="102"/>
      <c r="E26" s="102"/>
      <c r="F26" s="102"/>
      <c r="G26" s="102"/>
      <c r="H26" s="102"/>
      <c r="I26" s="102"/>
    </row>
    <row r="27" spans="1:9">
      <c r="A27" s="102"/>
      <c r="B27" s="102"/>
      <c r="C27" s="102"/>
      <c r="D27" s="102"/>
      <c r="E27" s="102"/>
      <c r="F27" s="102"/>
      <c r="G27" s="102"/>
      <c r="H27" s="102"/>
      <c r="I27" s="102"/>
    </row>
    <row r="28" spans="1:9">
      <c r="A28" s="102"/>
      <c r="B28" s="102"/>
      <c r="C28" s="102"/>
      <c r="D28" s="102"/>
      <c r="E28" s="102"/>
      <c r="F28" s="102"/>
      <c r="G28" s="102"/>
      <c r="H28" s="102"/>
      <c r="I28" s="102"/>
    </row>
    <row r="29" spans="1:9">
      <c r="A29" s="102"/>
      <c r="B29" s="102"/>
      <c r="C29" s="102"/>
      <c r="D29" s="102"/>
      <c r="E29" s="102"/>
      <c r="F29" s="102"/>
      <c r="G29" s="102"/>
      <c r="H29" s="102"/>
      <c r="I29" s="102"/>
    </row>
    <row r="30" spans="1:9">
      <c r="A30" s="102"/>
      <c r="B30" s="102"/>
      <c r="C30" s="102"/>
      <c r="D30" s="102"/>
      <c r="E30" s="102"/>
      <c r="F30" s="102"/>
      <c r="G30" s="102"/>
      <c r="H30" s="102"/>
      <c r="I30" s="102"/>
    </row>
    <row r="31" spans="1:9">
      <c r="A31" s="102"/>
      <c r="B31" s="102"/>
      <c r="C31" s="102"/>
      <c r="D31" s="102"/>
      <c r="E31" s="102"/>
      <c r="F31" s="102"/>
      <c r="G31" s="102"/>
      <c r="H31" s="102"/>
      <c r="I31" s="102"/>
    </row>
    <row r="32" spans="1:9">
      <c r="A32" s="102"/>
      <c r="B32" s="102"/>
      <c r="C32" s="102"/>
      <c r="D32" s="102"/>
      <c r="E32" s="102"/>
      <c r="F32" s="102"/>
      <c r="G32" s="102"/>
      <c r="H32" s="102"/>
      <c r="I32" s="102"/>
    </row>
    <row r="33" spans="1:9">
      <c r="A33" s="102"/>
      <c r="B33" s="102"/>
      <c r="C33" s="102"/>
      <c r="D33" s="102"/>
      <c r="E33" s="102"/>
      <c r="F33" s="102"/>
      <c r="G33" s="102"/>
      <c r="H33" s="102"/>
      <c r="I33" s="102"/>
    </row>
    <row r="34" spans="1:9">
      <c r="A34" s="102"/>
      <c r="B34" s="102"/>
      <c r="C34" s="102"/>
      <c r="D34" s="102"/>
      <c r="E34" s="102"/>
      <c r="F34" s="102"/>
      <c r="G34" s="102"/>
      <c r="H34" s="102"/>
      <c r="I34" s="102"/>
    </row>
    <row r="35" spans="1:9">
      <c r="A35" s="102"/>
      <c r="B35" s="102"/>
      <c r="C35" s="102"/>
      <c r="D35" s="102"/>
      <c r="E35" s="102"/>
      <c r="F35" s="102"/>
      <c r="G35" s="102"/>
      <c r="H35" s="102"/>
      <c r="I35" s="102"/>
    </row>
    <row r="36" spans="1:9">
      <c r="A36" s="102"/>
      <c r="B36" s="102"/>
      <c r="C36" s="102"/>
      <c r="D36" s="102"/>
      <c r="E36" s="102"/>
      <c r="F36" s="102"/>
      <c r="G36" s="102"/>
      <c r="H36" s="102"/>
      <c r="I36" s="102"/>
    </row>
    <row r="37" spans="1:9">
      <c r="A37" s="102"/>
      <c r="B37" s="102"/>
      <c r="C37" s="102"/>
      <c r="D37" s="102"/>
      <c r="E37" s="102"/>
      <c r="F37" s="102"/>
      <c r="G37" s="102"/>
      <c r="H37" s="102"/>
      <c r="I37" s="102"/>
    </row>
    <row r="38" spans="1:9">
      <c r="A38" s="102"/>
      <c r="B38" s="102"/>
      <c r="C38" s="102"/>
      <c r="D38" s="102"/>
      <c r="E38" s="102"/>
      <c r="F38" s="102"/>
      <c r="G38" s="102"/>
      <c r="H38" s="102"/>
      <c r="I38" s="102"/>
    </row>
    <row r="39" spans="1:9">
      <c r="A39" s="102"/>
      <c r="B39" s="102"/>
      <c r="C39" s="102"/>
      <c r="D39" s="102"/>
      <c r="E39" s="102"/>
      <c r="F39" s="102"/>
      <c r="G39" s="102"/>
      <c r="H39" s="102"/>
      <c r="I39" s="102"/>
    </row>
    <row r="40" spans="1:9">
      <c r="A40" s="102"/>
      <c r="B40" s="102"/>
      <c r="C40" s="102"/>
      <c r="D40" s="102"/>
      <c r="E40" s="102"/>
      <c r="F40" s="102"/>
      <c r="G40" s="102"/>
      <c r="H40" s="102"/>
      <c r="I40" s="102"/>
    </row>
  </sheetData>
  <sheetProtection sheet="1" objects="1" scenarios="1" selectLockedCells="1" selectUnlockedCells="1"/>
  <pageMargins left="0.70866141732283472" right="0.70866141732283472" top="0.98425196850393704" bottom="0.98425196850393704" header="0.31496062992125984" footer="0.31496062992125984"/>
  <pageSetup paperSize="9" scale="66" orientation="portrait" verticalDpi="0" r:id="rId1"/>
  <headerFooter>
    <oddHeader>&amp;L&amp;"+,Bold"&amp;13Tools for Demographic Estimation&amp;R&amp;"+,Bold"&amp;13Orphanhood before &amp;&amp; since 1st marriage</oddHeader>
    <oddFooter>&amp;L&amp;"+,Regular"&amp;12&amp;F&amp;R&amp;"+,Regular"&amp;12&amp;D  &amp;T</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9</vt:i4>
      </vt:variant>
    </vt:vector>
  </HeadingPairs>
  <TitlesOfParts>
    <vt:vector size="14" baseType="lpstr">
      <vt:lpstr>Introduction</vt:lpstr>
      <vt:lpstr>Modèles</vt:lpstr>
      <vt:lpstr>Orphelins de mère</vt:lpstr>
      <vt:lpstr>Orphelins de père</vt:lpstr>
      <vt:lpstr>Graphiques</vt:lpstr>
      <vt:lpstr>Date_of_survey</vt:lpstr>
      <vt:lpstr>MBAR</vt:lpstr>
      <vt:lpstr>MBAR_m</vt:lpstr>
      <vt:lpstr>Model_LTs</vt:lpstr>
      <vt:lpstr>SMAM</vt:lpstr>
      <vt:lpstr>'Orphelins de mère'!TABLE</vt:lpstr>
      <vt:lpstr>'Orphelins de mère'!TABLE_2</vt:lpstr>
      <vt:lpstr>'Orphelins de mère'!TABLE_3</vt:lpstr>
      <vt:lpstr>'Orphelins de mère'!TABLE_4</vt:lpstr>
    </vt:vector>
  </TitlesOfParts>
  <Company>London School of Hygiene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Cairo Demographic Center</dc:title>
  <dc:creator>Ian Timaeus</dc:creator>
  <cp:lastModifiedBy>Anne Scott</cp:lastModifiedBy>
  <cp:lastPrinted>2011-11-30T19:06:40Z</cp:lastPrinted>
  <dcterms:created xsi:type="dcterms:W3CDTF">1998-09-28T19:19:52Z</dcterms:created>
  <dcterms:modified xsi:type="dcterms:W3CDTF">2015-05-20T09:36:57Z</dcterms:modified>
</cp:coreProperties>
</file>