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TOM_DRIVE\OneDrive - University of Cape Town\Academic\UNFPA\Manual XI\FINAL - DECEMBER2012\Adult mortality\Orphanhood1\"/>
    </mc:Choice>
  </mc:AlternateContent>
  <bookViews>
    <workbookView xWindow="0" yWindow="0" windowWidth="23040" windowHeight="9405"/>
  </bookViews>
  <sheets>
    <sheet name="Introduction" sheetId="4" r:id="rId1"/>
    <sheet name="Model data" sheetId="7" r:id="rId2"/>
    <sheet name="Maternal orphanhood" sheetId="1" r:id="rId3"/>
    <sheet name="Paternal orphanhood" sheetId="3" r:id="rId4"/>
    <sheet name="Charts" sheetId="5" r:id="rId5"/>
  </sheets>
  <externalReferences>
    <externalReference r:id="rId6"/>
  </externalReferences>
  <definedNames>
    <definedName name="_Regression_Int" localSheetId="2" hidden="1">1</definedName>
    <definedName name="Date_of_survey" localSheetId="1">'[1]Maternal orphanhood'!$S$1</definedName>
    <definedName name="Date_of_survey">'Maternal orphanhood'!$T$1</definedName>
    <definedName name="MBAR" localSheetId="1">'[1]Maternal orphanhood'!$D$57</definedName>
    <definedName name="MBAR">'Maternal orphanhood'!$D$56</definedName>
    <definedName name="MBAR_m" localSheetId="1">'[1]Paternal orphanhood'!$C$43</definedName>
    <definedName name="MBAR_m">'Paternal orphanhood'!$C$42</definedName>
    <definedName name="Model_LTs">'Model data'!$B$2:$G$2</definedName>
    <definedName name="_xlnm.Print_Area" localSheetId="0">Introduction!$B$1:$D$20</definedName>
    <definedName name="Print_Area_MI" localSheetId="2">'Maternal orphanhood'!$A$1:$K$58</definedName>
  </definedNames>
  <calcPr calcId="152511"/>
</workbook>
</file>

<file path=xl/calcChain.xml><?xml version="1.0" encoding="utf-8"?>
<calcChain xmlns="http://schemas.openxmlformats.org/spreadsheetml/2006/main">
  <c r="B38" i="7" l="1"/>
  <c r="B37" i="7"/>
  <c r="B36" i="7"/>
  <c r="B35" i="7"/>
  <c r="B34" i="7"/>
  <c r="B33" i="7"/>
  <c r="B32" i="7"/>
  <c r="B31" i="7"/>
  <c r="B30" i="7"/>
  <c r="B29" i="7"/>
  <c r="B28" i="7"/>
  <c r="B27" i="7"/>
  <c r="B26" i="7"/>
  <c r="B25" i="7"/>
  <c r="B24" i="7"/>
  <c r="J5" i="3" l="1"/>
  <c r="J29" i="3"/>
  <c r="J17" i="3"/>
  <c r="C30" i="3"/>
  <c r="C31" i="3"/>
  <c r="C32" i="3"/>
  <c r="C33" i="3"/>
  <c r="C34" i="3"/>
  <c r="C35" i="3"/>
  <c r="C36" i="3"/>
  <c r="C37" i="3"/>
  <c r="B31" i="3"/>
  <c r="B32" i="3"/>
  <c r="B33" i="3"/>
  <c r="B34" i="3"/>
  <c r="B35" i="3"/>
  <c r="B36" i="3"/>
  <c r="B37" i="3"/>
  <c r="B30" i="3"/>
  <c r="N31" i="3"/>
  <c r="N32" i="3" s="1"/>
  <c r="R30" i="3"/>
  <c r="D25" i="3"/>
  <c r="D24" i="3"/>
  <c r="D23" i="3"/>
  <c r="D22" i="3"/>
  <c r="D21" i="3"/>
  <c r="D20" i="3"/>
  <c r="N19" i="3"/>
  <c r="N20" i="3" s="1"/>
  <c r="D19" i="3"/>
  <c r="R18" i="3"/>
  <c r="D18" i="3"/>
  <c r="C33" i="1"/>
  <c r="C34" i="1"/>
  <c r="C35" i="1"/>
  <c r="C36" i="1"/>
  <c r="C37" i="1"/>
  <c r="C38" i="1"/>
  <c r="C39" i="1"/>
  <c r="C40" i="1"/>
  <c r="C32" i="1"/>
  <c r="N33" i="1"/>
  <c r="N34" i="1" s="1"/>
  <c r="N32" i="1"/>
  <c r="R32" i="1" s="1"/>
  <c r="D27" i="1"/>
  <c r="O27" i="1" s="1"/>
  <c r="D26" i="1"/>
  <c r="O26" i="1" s="1"/>
  <c r="D25" i="1"/>
  <c r="O25" i="1" s="1"/>
  <c r="D24" i="1"/>
  <c r="O24" i="1" s="1"/>
  <c r="D23" i="1"/>
  <c r="O23" i="1" s="1"/>
  <c r="D22" i="1"/>
  <c r="O22" i="1" s="1"/>
  <c r="D21" i="1"/>
  <c r="O21" i="1" s="1"/>
  <c r="D20" i="1"/>
  <c r="O20" i="1" s="1"/>
  <c r="N19" i="1"/>
  <c r="R19" i="1" s="1"/>
  <c r="D19" i="1"/>
  <c r="O19" i="1" s="1"/>
  <c r="C26" i="7"/>
  <c r="D26" i="7" s="1"/>
  <c r="C27" i="7"/>
  <c r="D27" i="7" s="1"/>
  <c r="C28" i="7"/>
  <c r="D28" i="7" s="1"/>
  <c r="H6" i="1" s="1"/>
  <c r="C29" i="7"/>
  <c r="D29" i="7" s="1"/>
  <c r="H7" i="1" s="1"/>
  <c r="C30" i="7"/>
  <c r="D30" i="7" s="1"/>
  <c r="H8" i="1" s="1"/>
  <c r="C31" i="7"/>
  <c r="D31" i="7" s="1"/>
  <c r="H9" i="1" s="1"/>
  <c r="C32" i="7"/>
  <c r="D32" i="7" s="1"/>
  <c r="H8" i="3" s="1"/>
  <c r="C33" i="7"/>
  <c r="D33" i="7" s="1"/>
  <c r="H9" i="3" s="1"/>
  <c r="C34" i="7"/>
  <c r="D34" i="7" s="1"/>
  <c r="H10" i="3" s="1"/>
  <c r="C35" i="7"/>
  <c r="D35" i="7" s="1"/>
  <c r="C36" i="7"/>
  <c r="D36" i="7" s="1"/>
  <c r="H12" i="3" s="1"/>
  <c r="C37" i="7"/>
  <c r="D37" i="7" s="1"/>
  <c r="C38" i="7"/>
  <c r="D38" i="7" s="1"/>
  <c r="C25" i="7"/>
  <c r="D25" i="7" s="1"/>
  <c r="C24" i="7"/>
  <c r="D24" i="7" s="1"/>
  <c r="B21" i="7"/>
  <c r="G1" i="3"/>
  <c r="G58" i="3"/>
  <c r="D62" i="3"/>
  <c r="G49" i="3" s="1"/>
  <c r="C62" i="3"/>
  <c r="E49" i="3" s="1"/>
  <c r="A25" i="7"/>
  <c r="A26" i="7" s="1"/>
  <c r="A27" i="7" s="1"/>
  <c r="A28" i="7" s="1"/>
  <c r="A29" i="7" s="1"/>
  <c r="A30" i="7" s="1"/>
  <c r="A31" i="7" s="1"/>
  <c r="A32" i="7" s="1"/>
  <c r="A33" i="7" s="1"/>
  <c r="A34" i="7" s="1"/>
  <c r="A35" i="7" s="1"/>
  <c r="A36" i="7" s="1"/>
  <c r="A37" i="7" s="1"/>
  <c r="A38" i="7" s="1"/>
  <c r="G48" i="3" l="1"/>
  <c r="N20" i="1"/>
  <c r="N21" i="1" s="1"/>
  <c r="O18" i="3"/>
  <c r="G47" i="3"/>
  <c r="D30" i="3"/>
  <c r="H34" i="1"/>
  <c r="H36" i="1"/>
  <c r="O21" i="3"/>
  <c r="D35" i="3"/>
  <c r="D34" i="3"/>
  <c r="O34" i="3" s="1"/>
  <c r="D33" i="3"/>
  <c r="H13" i="1"/>
  <c r="H26" i="1"/>
  <c r="H32" i="3"/>
  <c r="H40" i="1"/>
  <c r="H36" i="3"/>
  <c r="H22" i="1"/>
  <c r="H38" i="1"/>
  <c r="H19" i="3"/>
  <c r="H32" i="1"/>
  <c r="H18" i="3"/>
  <c r="H22" i="3"/>
  <c r="H31" i="3"/>
  <c r="H33" i="3"/>
  <c r="H27" i="1"/>
  <c r="H25" i="1"/>
  <c r="H23" i="1"/>
  <c r="H21" i="1"/>
  <c r="H39" i="1"/>
  <c r="H37" i="1"/>
  <c r="H35" i="1"/>
  <c r="H33" i="1"/>
  <c r="H23" i="3"/>
  <c r="H30" i="3"/>
  <c r="H34" i="3"/>
  <c r="H24" i="1"/>
  <c r="H20" i="1"/>
  <c r="H21" i="3"/>
  <c r="H19" i="1"/>
  <c r="H24" i="3"/>
  <c r="H20" i="3"/>
  <c r="H35" i="3"/>
  <c r="G50" i="3"/>
  <c r="O19" i="3"/>
  <c r="O23" i="3"/>
  <c r="D37" i="3"/>
  <c r="G56" i="3"/>
  <c r="D36" i="3"/>
  <c r="D32" i="3"/>
  <c r="D31" i="3"/>
  <c r="E59" i="3"/>
  <c r="E54" i="3"/>
  <c r="G60" i="3"/>
  <c r="E58" i="3"/>
  <c r="E55" i="3"/>
  <c r="G52" i="3"/>
  <c r="E50" i="3"/>
  <c r="O22" i="3"/>
  <c r="E61" i="3"/>
  <c r="E56" i="3"/>
  <c r="E53" i="3"/>
  <c r="E48" i="3"/>
  <c r="E51" i="3"/>
  <c r="E47" i="3"/>
  <c r="E60" i="3"/>
  <c r="E57" i="3"/>
  <c r="G54" i="3"/>
  <c r="E52" i="3"/>
  <c r="R32" i="3"/>
  <c r="N33" i="3"/>
  <c r="O31" i="3"/>
  <c r="R31" i="3"/>
  <c r="O30" i="3"/>
  <c r="R20" i="3"/>
  <c r="N21" i="3"/>
  <c r="R19" i="3"/>
  <c r="O20" i="3"/>
  <c r="O24" i="3"/>
  <c r="R34" i="1"/>
  <c r="N35" i="1"/>
  <c r="R33" i="1"/>
  <c r="R21" i="1"/>
  <c r="N22" i="1"/>
  <c r="R20" i="1"/>
  <c r="G61" i="3"/>
  <c r="G59" i="3"/>
  <c r="G57" i="3"/>
  <c r="G55" i="3"/>
  <c r="G53" i="3"/>
  <c r="G51" i="3"/>
  <c r="H14" i="1"/>
  <c r="H12" i="1"/>
  <c r="H11" i="3"/>
  <c r="H11" i="1"/>
  <c r="H7" i="3"/>
  <c r="H6" i="3"/>
  <c r="H10" i="1"/>
  <c r="C47" i="1"/>
  <c r="C48" i="1" s="1"/>
  <c r="C49" i="1" s="1"/>
  <c r="C50" i="1" s="1"/>
  <c r="C51" i="1" s="1"/>
  <c r="C52" i="1" s="1"/>
  <c r="C53" i="1" s="1"/>
  <c r="O33" i="3" l="1"/>
  <c r="O32" i="3"/>
  <c r="O36" i="3"/>
  <c r="O35" i="3"/>
  <c r="G62" i="3"/>
  <c r="E62" i="3"/>
  <c r="N34" i="3"/>
  <c r="R33" i="3"/>
  <c r="R21" i="3"/>
  <c r="N22" i="3"/>
  <c r="N36" i="1"/>
  <c r="R35" i="1"/>
  <c r="N23" i="1"/>
  <c r="R22" i="1"/>
  <c r="K1" i="3"/>
  <c r="J5" i="1"/>
  <c r="J18" i="1" s="1"/>
  <c r="J31" i="1" s="1"/>
  <c r="G1" i="1"/>
  <c r="C41" i="3" l="1"/>
  <c r="R34" i="3"/>
  <c r="N35" i="3"/>
  <c r="R22" i="3"/>
  <c r="N23" i="3"/>
  <c r="R36" i="1"/>
  <c r="N37" i="1"/>
  <c r="R23" i="1"/>
  <c r="N24" i="1"/>
  <c r="K1" i="1"/>
  <c r="T1" i="1" s="1"/>
  <c r="N36" i="3" l="1"/>
  <c r="R36" i="3" s="1"/>
  <c r="R35" i="3"/>
  <c r="N24" i="3"/>
  <c r="R24" i="3" s="1"/>
  <c r="R23" i="3"/>
  <c r="N38" i="1"/>
  <c r="R37" i="1"/>
  <c r="N25" i="1"/>
  <c r="R24" i="1"/>
  <c r="R38" i="1" l="1"/>
  <c r="N39" i="1"/>
  <c r="R25" i="1"/>
  <c r="N26" i="1"/>
  <c r="T1" i="3"/>
  <c r="N40" i="1" l="1"/>
  <c r="R39" i="1"/>
  <c r="N27" i="1"/>
  <c r="R26" i="1"/>
  <c r="D6" i="3"/>
  <c r="R6" i="3"/>
  <c r="D7" i="3"/>
  <c r="D8" i="3"/>
  <c r="D9" i="3"/>
  <c r="D10" i="3"/>
  <c r="D11" i="3"/>
  <c r="D12" i="3"/>
  <c r="D13" i="3"/>
  <c r="N7" i="3"/>
  <c r="R7" i="3" s="1"/>
  <c r="R40" i="1" l="1"/>
  <c r="R27" i="1"/>
  <c r="O11" i="3"/>
  <c r="O10" i="3"/>
  <c r="O6" i="3"/>
  <c r="O12" i="3"/>
  <c r="O8" i="3"/>
  <c r="O9" i="3"/>
  <c r="O7" i="3"/>
  <c r="N8" i="3"/>
  <c r="R8" i="3" s="1"/>
  <c r="N6" i="1"/>
  <c r="N7" i="1" s="1"/>
  <c r="B54" i="1"/>
  <c r="D48" i="1"/>
  <c r="D49" i="1"/>
  <c r="D50" i="1"/>
  <c r="D51" i="1"/>
  <c r="D52" i="1"/>
  <c r="D53" i="1"/>
  <c r="D47" i="1"/>
  <c r="N9" i="3" l="1"/>
  <c r="R9" i="3" s="1"/>
  <c r="D54" i="1"/>
  <c r="D56" i="1" s="1"/>
  <c r="R7" i="1"/>
  <c r="N8" i="1"/>
  <c r="R6" i="1"/>
  <c r="E40" i="1" l="1"/>
  <c r="E36" i="1"/>
  <c r="E33" i="1"/>
  <c r="E27" i="1"/>
  <c r="G27" i="1" s="1"/>
  <c r="I27" i="1" s="1"/>
  <c r="J27" i="1" s="1"/>
  <c r="E25" i="1"/>
  <c r="G25" i="1" s="1"/>
  <c r="I25" i="1" s="1"/>
  <c r="J25" i="1" s="1"/>
  <c r="E23" i="1"/>
  <c r="G23" i="1" s="1"/>
  <c r="I23" i="1" s="1"/>
  <c r="J23" i="1" s="1"/>
  <c r="E21" i="1"/>
  <c r="G21" i="1" s="1"/>
  <c r="I21" i="1" s="1"/>
  <c r="J21" i="1" s="1"/>
  <c r="E39" i="1"/>
  <c r="E35" i="1"/>
  <c r="P32" i="1"/>
  <c r="P19" i="1"/>
  <c r="Q19" i="1" s="1"/>
  <c r="S19" i="1" s="1"/>
  <c r="T19" i="1" s="1"/>
  <c r="K19" i="1" s="1"/>
  <c r="E38" i="1"/>
  <c r="E34" i="1"/>
  <c r="E26" i="1"/>
  <c r="G26" i="1" s="1"/>
  <c r="I26" i="1" s="1"/>
  <c r="J26" i="1" s="1"/>
  <c r="E24" i="1"/>
  <c r="G24" i="1" s="1"/>
  <c r="I24" i="1" s="1"/>
  <c r="J24" i="1" s="1"/>
  <c r="E22" i="1"/>
  <c r="G22" i="1" s="1"/>
  <c r="I22" i="1" s="1"/>
  <c r="J22" i="1" s="1"/>
  <c r="E37" i="1"/>
  <c r="E32" i="1"/>
  <c r="E20" i="1"/>
  <c r="G20" i="1" s="1"/>
  <c r="I20" i="1" s="1"/>
  <c r="J20" i="1" s="1"/>
  <c r="E19" i="1"/>
  <c r="G19" i="1" s="1"/>
  <c r="I19" i="1" s="1"/>
  <c r="J19" i="1" s="1"/>
  <c r="P34" i="1"/>
  <c r="P20" i="1"/>
  <c r="Q20" i="1" s="1"/>
  <c r="S20" i="1" s="1"/>
  <c r="T20" i="1" s="1"/>
  <c r="K20" i="1" s="1"/>
  <c r="P21" i="1"/>
  <c r="Q21" i="1" s="1"/>
  <c r="S21" i="1" s="1"/>
  <c r="T21" i="1" s="1"/>
  <c r="K21" i="1" s="1"/>
  <c r="P33" i="1"/>
  <c r="P35" i="1"/>
  <c r="P22" i="1"/>
  <c r="Q22" i="1" s="1"/>
  <c r="S22" i="1" s="1"/>
  <c r="T22" i="1" s="1"/>
  <c r="K22" i="1" s="1"/>
  <c r="P23" i="1"/>
  <c r="Q23" i="1" s="1"/>
  <c r="S23" i="1" s="1"/>
  <c r="T23" i="1" s="1"/>
  <c r="K23" i="1" s="1"/>
  <c r="P36" i="1"/>
  <c r="P24" i="1"/>
  <c r="Q24" i="1" s="1"/>
  <c r="S24" i="1" s="1"/>
  <c r="T24" i="1" s="1"/>
  <c r="K24" i="1" s="1"/>
  <c r="P37" i="1"/>
  <c r="P25" i="1"/>
  <c r="Q25" i="1" s="1"/>
  <c r="S25" i="1" s="1"/>
  <c r="T25" i="1" s="1"/>
  <c r="K25" i="1" s="1"/>
  <c r="P38" i="1"/>
  <c r="P39" i="1"/>
  <c r="P26" i="1"/>
  <c r="Q26" i="1" s="1"/>
  <c r="S26" i="1" s="1"/>
  <c r="T26" i="1" s="1"/>
  <c r="P27" i="1"/>
  <c r="Q27" i="1" s="1"/>
  <c r="S27" i="1" s="1"/>
  <c r="T27" i="1" s="1"/>
  <c r="K27" i="1" s="1"/>
  <c r="P40" i="1"/>
  <c r="E8" i="1"/>
  <c r="E12" i="1"/>
  <c r="E10" i="1"/>
  <c r="E14" i="1"/>
  <c r="E9" i="1"/>
  <c r="E13" i="1"/>
  <c r="E7" i="1"/>
  <c r="E11" i="1"/>
  <c r="E6" i="1"/>
  <c r="P8" i="1"/>
  <c r="P7" i="1"/>
  <c r="P6" i="1"/>
  <c r="C40" i="3"/>
  <c r="C42" i="3" s="1"/>
  <c r="N10" i="3"/>
  <c r="R10" i="3" s="1"/>
  <c r="N9" i="1"/>
  <c r="R8" i="1"/>
  <c r="K26" i="1" l="1"/>
  <c r="N11" i="3"/>
  <c r="R11" i="3" s="1"/>
  <c r="N10" i="1"/>
  <c r="R9" i="1"/>
  <c r="P9" i="1"/>
  <c r="P35" i="3" l="1"/>
  <c r="Q35" i="3" s="1"/>
  <c r="S35" i="3" s="1"/>
  <c r="E35" i="3"/>
  <c r="P33" i="3"/>
  <c r="Q33" i="3" s="1"/>
  <c r="S33" i="3" s="1"/>
  <c r="E33" i="3"/>
  <c r="P31" i="3"/>
  <c r="Q31" i="3" s="1"/>
  <c r="S31" i="3" s="1"/>
  <c r="E31" i="3"/>
  <c r="P36" i="3"/>
  <c r="Q36" i="3" s="1"/>
  <c r="S36" i="3" s="1"/>
  <c r="E36" i="3"/>
  <c r="P34" i="3"/>
  <c r="Q34" i="3" s="1"/>
  <c r="S34" i="3" s="1"/>
  <c r="E34" i="3"/>
  <c r="P32" i="3"/>
  <c r="Q32" i="3" s="1"/>
  <c r="S32" i="3" s="1"/>
  <c r="E32" i="3"/>
  <c r="P30" i="3"/>
  <c r="Q30" i="3" s="1"/>
  <c r="S30" i="3" s="1"/>
  <c r="E30" i="3"/>
  <c r="P20" i="3"/>
  <c r="Q20" i="3" s="1"/>
  <c r="S20" i="3" s="1"/>
  <c r="P18" i="3"/>
  <c r="Q18" i="3" s="1"/>
  <c r="S18" i="3" s="1"/>
  <c r="E18" i="3"/>
  <c r="P23" i="3"/>
  <c r="Q23" i="3" s="1"/>
  <c r="S23" i="3" s="1"/>
  <c r="E23" i="3"/>
  <c r="P21" i="3"/>
  <c r="Q21" i="3" s="1"/>
  <c r="S21" i="3" s="1"/>
  <c r="E21" i="3"/>
  <c r="P19" i="3"/>
  <c r="Q19" i="3" s="1"/>
  <c r="S19" i="3" s="1"/>
  <c r="E19" i="3"/>
  <c r="P24" i="3"/>
  <c r="Q24" i="3" s="1"/>
  <c r="S24" i="3" s="1"/>
  <c r="E24" i="3"/>
  <c r="P22" i="3"/>
  <c r="Q22" i="3" s="1"/>
  <c r="S22" i="3" s="1"/>
  <c r="E22" i="3"/>
  <c r="E20" i="3"/>
  <c r="E8" i="3"/>
  <c r="G8" i="3" s="1"/>
  <c r="I8" i="3" s="1"/>
  <c r="J8" i="3" s="1"/>
  <c r="E10" i="3"/>
  <c r="G10" i="3" s="1"/>
  <c r="I10" i="3" s="1"/>
  <c r="J10" i="3" s="1"/>
  <c r="E12" i="3"/>
  <c r="G12" i="3" s="1"/>
  <c r="I12" i="3" s="1"/>
  <c r="J12" i="3" s="1"/>
  <c r="E7" i="3"/>
  <c r="G7" i="3" s="1"/>
  <c r="I7" i="3" s="1"/>
  <c r="J7" i="3" s="1"/>
  <c r="E9" i="3"/>
  <c r="G9" i="3" s="1"/>
  <c r="I9" i="3" s="1"/>
  <c r="J9" i="3" s="1"/>
  <c r="E11" i="3"/>
  <c r="G11" i="3" s="1"/>
  <c r="I11" i="3" s="1"/>
  <c r="J11" i="3" s="1"/>
  <c r="P10" i="3"/>
  <c r="Q10" i="3" s="1"/>
  <c r="S10" i="3" s="1"/>
  <c r="T10" i="3" s="1"/>
  <c r="E6" i="3"/>
  <c r="P9" i="3"/>
  <c r="Q9" i="3" s="1"/>
  <c r="S9" i="3" s="1"/>
  <c r="T9" i="3" s="1"/>
  <c r="P7" i="3"/>
  <c r="Q7" i="3" s="1"/>
  <c r="S7" i="3" s="1"/>
  <c r="T7" i="3" s="1"/>
  <c r="P6" i="3"/>
  <c r="Q6" i="3" s="1"/>
  <c r="S6" i="3" s="1"/>
  <c r="T6" i="3" s="1"/>
  <c r="P8" i="3"/>
  <c r="Q8" i="3" s="1"/>
  <c r="S8" i="3" s="1"/>
  <c r="T8" i="3" s="1"/>
  <c r="P11" i="3"/>
  <c r="Q11" i="3" s="1"/>
  <c r="N12" i="3"/>
  <c r="N11" i="1"/>
  <c r="R10" i="1"/>
  <c r="P10" i="1"/>
  <c r="K10" i="3" l="1"/>
  <c r="T32" i="3"/>
  <c r="K32" i="3" s="1"/>
  <c r="T36" i="3"/>
  <c r="T33" i="3"/>
  <c r="K33" i="3" s="1"/>
  <c r="T30" i="3"/>
  <c r="K30" i="3" s="1"/>
  <c r="T34" i="3"/>
  <c r="T31" i="3"/>
  <c r="K31" i="3" s="1"/>
  <c r="T35" i="3"/>
  <c r="T22" i="3"/>
  <c r="T19" i="3"/>
  <c r="K19" i="3" s="1"/>
  <c r="T23" i="3"/>
  <c r="T20" i="3"/>
  <c r="K20" i="3" s="1"/>
  <c r="T24" i="3"/>
  <c r="T21" i="3"/>
  <c r="K21" i="3" s="1"/>
  <c r="T18" i="3"/>
  <c r="K18" i="3" s="1"/>
  <c r="G34" i="3"/>
  <c r="I34" i="3" s="1"/>
  <c r="J34" i="3" s="1"/>
  <c r="G31" i="3"/>
  <c r="I31" i="3" s="1"/>
  <c r="J31" i="3" s="1"/>
  <c r="G35" i="3"/>
  <c r="I35" i="3" s="1"/>
  <c r="J35" i="3" s="1"/>
  <c r="G32" i="3"/>
  <c r="I32" i="3" s="1"/>
  <c r="J32" i="3" s="1"/>
  <c r="G36" i="3"/>
  <c r="I36" i="3" s="1"/>
  <c r="J36" i="3" s="1"/>
  <c r="G33" i="3"/>
  <c r="I33" i="3" s="1"/>
  <c r="J33" i="3" s="1"/>
  <c r="G30" i="3"/>
  <c r="I30" i="3" s="1"/>
  <c r="J30" i="3" s="1"/>
  <c r="G21" i="3"/>
  <c r="I21" i="3" s="1"/>
  <c r="J21" i="3" s="1"/>
  <c r="G22" i="3"/>
  <c r="I22" i="3" s="1"/>
  <c r="J22" i="3" s="1"/>
  <c r="G19" i="3"/>
  <c r="I19" i="3" s="1"/>
  <c r="J19" i="3" s="1"/>
  <c r="G23" i="3"/>
  <c r="I23" i="3" s="1"/>
  <c r="J23" i="3" s="1"/>
  <c r="G24" i="3"/>
  <c r="I24" i="3" s="1"/>
  <c r="J24" i="3" s="1"/>
  <c r="G20" i="3"/>
  <c r="I20" i="3" s="1"/>
  <c r="J20" i="3" s="1"/>
  <c r="G18" i="3"/>
  <c r="I18" i="3" s="1"/>
  <c r="J18" i="3" s="1"/>
  <c r="G6" i="3"/>
  <c r="I6" i="3" s="1"/>
  <c r="J6" i="3" s="1"/>
  <c r="R12" i="3"/>
  <c r="P12" i="3"/>
  <c r="Q12" i="3" s="1"/>
  <c r="S11" i="3"/>
  <c r="T11" i="3" s="1"/>
  <c r="K11" i="3" s="1"/>
  <c r="N12" i="1"/>
  <c r="R11" i="1"/>
  <c r="P11" i="1"/>
  <c r="K34" i="3" l="1"/>
  <c r="K24" i="3"/>
  <c r="K22" i="3"/>
  <c r="K36" i="3"/>
  <c r="K35" i="3"/>
  <c r="K23" i="3"/>
  <c r="S12" i="3"/>
  <c r="T12" i="3" s="1"/>
  <c r="K12" i="3" s="1"/>
  <c r="N13" i="1"/>
  <c r="R12" i="1"/>
  <c r="P12" i="1"/>
  <c r="N14" i="1" l="1"/>
  <c r="R13" i="1"/>
  <c r="P13" i="1"/>
  <c r="R14" i="1" l="1"/>
  <c r="P14" i="1"/>
  <c r="K6" i="3" l="1"/>
  <c r="K7" i="3" l="1"/>
  <c r="K8" i="3"/>
  <c r="K9" i="3"/>
  <c r="B34" i="1"/>
  <c r="D34" i="1" s="1"/>
  <c r="G34" i="1" s="1"/>
  <c r="I34" i="1" s="1"/>
  <c r="J34" i="1" s="1"/>
  <c r="D8" i="1"/>
  <c r="G8" i="1" s="1"/>
  <c r="I8" i="1" s="1"/>
  <c r="J8" i="1" s="1"/>
  <c r="O10" i="1"/>
  <c r="Q10" i="1" s="1"/>
  <c r="S10" i="1" s="1"/>
  <c r="T10" i="1" s="1"/>
  <c r="K10" i="1" s="1"/>
  <c r="D7" i="1"/>
  <c r="G7" i="1" s="1"/>
  <c r="I7" i="1" s="1"/>
  <c r="J7" i="1" s="1"/>
  <c r="B33" i="1"/>
  <c r="D33" i="1" s="1"/>
  <c r="D14" i="1"/>
  <c r="O14" i="1" s="1"/>
  <c r="Q14" i="1" s="1"/>
  <c r="S14" i="1" s="1"/>
  <c r="T14" i="1" s="1"/>
  <c r="B40" i="1"/>
  <c r="D40" i="1" s="1"/>
  <c r="D12" i="1"/>
  <c r="O12" i="1" s="1"/>
  <c r="Q12" i="1" s="1"/>
  <c r="S12" i="1" s="1"/>
  <c r="T12" i="1" s="1"/>
  <c r="B38" i="1"/>
  <c r="D38" i="1" s="1"/>
  <c r="D11" i="1"/>
  <c r="G11" i="1" s="1"/>
  <c r="I11" i="1" s="1"/>
  <c r="J11" i="1" s="1"/>
  <c r="B37" i="1"/>
  <c r="D37" i="1" s="1"/>
  <c r="D10" i="1"/>
  <c r="G10" i="1" s="1"/>
  <c r="I10" i="1" s="1"/>
  <c r="J10" i="1" s="1"/>
  <c r="B36" i="1"/>
  <c r="D36" i="1" s="1"/>
  <c r="D6" i="1"/>
  <c r="G6" i="1" s="1"/>
  <c r="I6" i="1" s="1"/>
  <c r="J6" i="1" s="1"/>
  <c r="B32" i="1"/>
  <c r="D32" i="1" s="1"/>
  <c r="D9" i="1"/>
  <c r="G9" i="1" s="1"/>
  <c r="I9" i="1" s="1"/>
  <c r="J9" i="1" s="1"/>
  <c r="B35" i="1"/>
  <c r="D35" i="1" s="1"/>
  <c r="D13" i="1"/>
  <c r="O13" i="1" s="1"/>
  <c r="Q13" i="1" s="1"/>
  <c r="S13" i="1" s="1"/>
  <c r="T13" i="1" s="1"/>
  <c r="B39" i="1"/>
  <c r="D39" i="1" s="1"/>
  <c r="O39" i="1" s="1"/>
  <c r="Q39" i="1" s="1"/>
  <c r="S39" i="1" s="1"/>
  <c r="T39" i="1" s="1"/>
  <c r="K13" i="1" l="1"/>
  <c r="G12" i="1"/>
  <c r="I12" i="1" s="1"/>
  <c r="J12" i="1" s="1"/>
  <c r="K14" i="1"/>
  <c r="O6" i="1"/>
  <c r="Q6" i="1" s="1"/>
  <c r="S6" i="1" s="1"/>
  <c r="T6" i="1" s="1"/>
  <c r="K6" i="1" s="1"/>
  <c r="O8" i="1"/>
  <c r="Q8" i="1" s="1"/>
  <c r="S8" i="1" s="1"/>
  <c r="T8" i="1" s="1"/>
  <c r="K8" i="1" s="1"/>
  <c r="G13" i="1"/>
  <c r="I13" i="1" s="1"/>
  <c r="J13" i="1" s="1"/>
  <c r="G35" i="1"/>
  <c r="I35" i="1" s="1"/>
  <c r="J35" i="1" s="1"/>
  <c r="O35" i="1"/>
  <c r="Q35" i="1" s="1"/>
  <c r="S35" i="1" s="1"/>
  <c r="T35" i="1" s="1"/>
  <c r="K35" i="1" s="1"/>
  <c r="G36" i="1"/>
  <c r="I36" i="1" s="1"/>
  <c r="J36" i="1" s="1"/>
  <c r="O36" i="1"/>
  <c r="Q36" i="1" s="1"/>
  <c r="S36" i="1" s="1"/>
  <c r="T36" i="1" s="1"/>
  <c r="K36" i="1" s="1"/>
  <c r="O38" i="1"/>
  <c r="Q38" i="1" s="1"/>
  <c r="S38" i="1" s="1"/>
  <c r="T38" i="1" s="1"/>
  <c r="G38" i="1"/>
  <c r="I38" i="1" s="1"/>
  <c r="J38" i="1" s="1"/>
  <c r="O33" i="1"/>
  <c r="Q33" i="1" s="1"/>
  <c r="S33" i="1" s="1"/>
  <c r="T33" i="1" s="1"/>
  <c r="K33" i="1" s="1"/>
  <c r="G33" i="1"/>
  <c r="I33" i="1" s="1"/>
  <c r="J33" i="1" s="1"/>
  <c r="G32" i="1"/>
  <c r="I32" i="1" s="1"/>
  <c r="J32" i="1" s="1"/>
  <c r="O32" i="1"/>
  <c r="Q32" i="1" s="1"/>
  <c r="S32" i="1" s="1"/>
  <c r="T32" i="1" s="1"/>
  <c r="K32" i="1" s="1"/>
  <c r="G37" i="1"/>
  <c r="I37" i="1" s="1"/>
  <c r="J37" i="1" s="1"/>
  <c r="O37" i="1"/>
  <c r="Q37" i="1" s="1"/>
  <c r="S37" i="1" s="1"/>
  <c r="T37" i="1" s="1"/>
  <c r="K37" i="1" s="1"/>
  <c r="O40" i="1"/>
  <c r="Q40" i="1" s="1"/>
  <c r="S40" i="1" s="1"/>
  <c r="T40" i="1" s="1"/>
  <c r="K40" i="1" s="1"/>
  <c r="G40" i="1"/>
  <c r="I40" i="1" s="1"/>
  <c r="J40" i="1" s="1"/>
  <c r="G39" i="1"/>
  <c r="I39" i="1" s="1"/>
  <c r="J39" i="1" s="1"/>
  <c r="O7" i="1"/>
  <c r="Q7" i="1" s="1"/>
  <c r="S7" i="1" s="1"/>
  <c r="T7" i="1" s="1"/>
  <c r="K7" i="1" s="1"/>
  <c r="O34" i="1"/>
  <c r="Q34" i="1" s="1"/>
  <c r="S34" i="1" s="1"/>
  <c r="T34" i="1" s="1"/>
  <c r="K34" i="1" s="1"/>
  <c r="G14" i="1"/>
  <c r="I14" i="1" s="1"/>
  <c r="J14" i="1" s="1"/>
  <c r="O9" i="1"/>
  <c r="Q9" i="1" s="1"/>
  <c r="S9" i="1" s="1"/>
  <c r="T9" i="1" s="1"/>
  <c r="K9" i="1" s="1"/>
  <c r="O11" i="1"/>
  <c r="Q11" i="1" s="1"/>
  <c r="S11" i="1" s="1"/>
  <c r="T11" i="1" s="1"/>
  <c r="K11" i="1" s="1"/>
  <c r="K38" i="1" l="1"/>
  <c r="K39" i="1"/>
  <c r="K12" i="1"/>
</calcChain>
</file>

<file path=xl/comments1.xml><?xml version="1.0" encoding="utf-8"?>
<comments xmlns="http://schemas.openxmlformats.org/spreadsheetml/2006/main">
  <authors>
    <author>Ian Timaeus</author>
  </authors>
  <commentList>
    <comment ref="G2" authorId="0" shapeId="0">
      <text>
        <r>
          <rPr>
            <sz val="9"/>
            <color indexed="81"/>
            <rFont val="Tahoma"/>
            <family val="2"/>
          </rPr>
          <t>To use a different standard life table, select 'Other' on Introduction!D10 and enter its logits in these cells.</t>
        </r>
      </text>
    </comment>
    <comment ref="I17" authorId="0" shapeId="0">
      <text>
        <r>
          <rPr>
            <sz val="9"/>
            <color indexed="81"/>
            <rFont val="Tahoma"/>
            <family val="2"/>
          </rPr>
          <t>N.B.This equation estimates l(35+n+5)/l(35), not l(35+n)/l(35). It is was fitted to the same data as the equations in Timaeus (1992) but gives more robust estimates than estimating l(45)/l(35) using the published equation.</t>
        </r>
      </text>
    </comment>
  </commentList>
</comments>
</file>

<file path=xl/comments2.xml><?xml version="1.0" encoding="utf-8"?>
<comments xmlns="http://schemas.openxmlformats.org/spreadsheetml/2006/main">
  <authors>
    <author>Ian Timaeus</author>
  </authors>
  <commentList>
    <comment ref="G6" authorId="0" shapeId="0">
      <text>
        <r>
          <rPr>
            <sz val="9"/>
            <color indexed="81"/>
            <rFont val="Tahoma"/>
            <family val="2"/>
          </rPr>
          <t xml:space="preserve">N.B. </t>
        </r>
        <r>
          <rPr>
            <i/>
            <sz val="12"/>
            <color indexed="81"/>
            <rFont val="Times New Roman"/>
            <family val="1"/>
          </rPr>
          <t>l</t>
        </r>
        <r>
          <rPr>
            <sz val="9"/>
            <color indexed="81"/>
            <rFont val="Tahoma"/>
            <family val="2"/>
          </rPr>
          <t>(50)/</t>
        </r>
        <r>
          <rPr>
            <i/>
            <sz val="12"/>
            <color indexed="81"/>
            <rFont val="Times New Roman"/>
            <family val="1"/>
          </rPr>
          <t>l</t>
        </r>
        <r>
          <rPr>
            <sz val="9"/>
            <color indexed="81"/>
            <rFont val="Tahoma"/>
            <family val="2"/>
          </rPr>
          <t xml:space="preserve">(35) - estimated using an unpublished regession equation consistent with those in Timaeus (1992). This gives more robust estimates than estimating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using the published equation.</t>
        </r>
      </text>
    </comment>
    <comment ref="G18" authorId="0" shapeId="0">
      <text>
        <r>
          <rPr>
            <sz val="9"/>
            <color indexed="81"/>
            <rFont val="Tahoma"/>
            <family val="2"/>
          </rPr>
          <t xml:space="preserve">N.B. </t>
        </r>
        <r>
          <rPr>
            <i/>
            <sz val="12"/>
            <color indexed="81"/>
            <rFont val="Times New Roman"/>
            <family val="1"/>
          </rPr>
          <t>l</t>
        </r>
        <r>
          <rPr>
            <sz val="9"/>
            <color indexed="81"/>
            <rFont val="Tahoma"/>
            <family val="2"/>
          </rPr>
          <t>(50)/</t>
        </r>
        <r>
          <rPr>
            <i/>
            <sz val="12"/>
            <color indexed="81"/>
            <rFont val="Times New Roman"/>
            <family val="1"/>
          </rPr>
          <t>l</t>
        </r>
        <r>
          <rPr>
            <sz val="9"/>
            <color indexed="81"/>
            <rFont val="Tahoma"/>
            <family val="2"/>
          </rPr>
          <t xml:space="preserve">(35) - estimated using an unpublished regession equation consistent with those in Timaeus (1992). This gives more robust estimates than estimating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using the published equation.</t>
        </r>
      </text>
    </comment>
    <comment ref="G30" authorId="0" shapeId="0">
      <text>
        <r>
          <rPr>
            <sz val="9"/>
            <color indexed="81"/>
            <rFont val="Tahoma"/>
            <family val="2"/>
          </rPr>
          <t xml:space="preserve">N.B. </t>
        </r>
        <r>
          <rPr>
            <i/>
            <sz val="12"/>
            <color indexed="81"/>
            <rFont val="Times New Roman"/>
            <family val="1"/>
          </rPr>
          <t>l</t>
        </r>
        <r>
          <rPr>
            <sz val="9"/>
            <color indexed="81"/>
            <rFont val="Tahoma"/>
            <family val="2"/>
          </rPr>
          <t>(50)/</t>
        </r>
        <r>
          <rPr>
            <i/>
            <sz val="12"/>
            <color indexed="81"/>
            <rFont val="Times New Roman"/>
            <family val="1"/>
          </rPr>
          <t>l</t>
        </r>
        <r>
          <rPr>
            <sz val="9"/>
            <color indexed="81"/>
            <rFont val="Tahoma"/>
            <family val="2"/>
          </rPr>
          <t xml:space="preserve">(35) - estimated using an unpublished regession equation consistent with those in Timaeus (1992). This gives more robust estimates than estimating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using the published equation.</t>
        </r>
      </text>
    </comment>
  </commentList>
</comments>
</file>

<file path=xl/sharedStrings.xml><?xml version="1.0" encoding="utf-8"?>
<sst xmlns="http://schemas.openxmlformats.org/spreadsheetml/2006/main" count="480" uniqueCount="146">
  <si>
    <t>Age</t>
  </si>
  <si>
    <t>Total</t>
  </si>
  <si>
    <t>Mother</t>
  </si>
  <si>
    <t>Proportion</t>
  </si>
  <si>
    <t>Level</t>
  </si>
  <si>
    <t>Date</t>
  </si>
  <si>
    <t xml:space="preserve"> 5 - 9</t>
  </si>
  <si>
    <t>10-14</t>
  </si>
  <si>
    <t>15-19</t>
  </si>
  <si>
    <t>20-24</t>
  </si>
  <si>
    <t>25-29</t>
  </si>
  <si>
    <t>30-34</t>
  </si>
  <si>
    <t>35-39</t>
  </si>
  <si>
    <t>40-44</t>
  </si>
  <si>
    <t>45-49</t>
  </si>
  <si>
    <t>Mid-point</t>
  </si>
  <si>
    <t>n</t>
  </si>
  <si>
    <t>10</t>
  </si>
  <si>
    <t>15</t>
  </si>
  <si>
    <t>20</t>
  </si>
  <si>
    <t>25</t>
  </si>
  <si>
    <t>30</t>
  </si>
  <si>
    <t>35</t>
  </si>
  <si>
    <t>40</t>
  </si>
  <si>
    <t>45</t>
  </si>
  <si>
    <t>50</t>
  </si>
  <si>
    <t>Totals:</t>
  </si>
  <si>
    <t>Time location of maternal orphanhood estimates</t>
  </si>
  <si>
    <t>Central</t>
  </si>
  <si>
    <t>Standard</t>
  </si>
  <si>
    <t>Time</t>
  </si>
  <si>
    <t>Time location of paternal orphanhood estimates</t>
  </si>
  <si>
    <t xml:space="preserve">Calculation of the mean age at childbearing </t>
  </si>
  <si>
    <r>
      <rPr>
        <b/>
        <i/>
        <sz val="11"/>
        <rFont val="Arial Narrow"/>
        <family val="2"/>
      </rPr>
      <t>S</t>
    </r>
    <r>
      <rPr>
        <b/>
        <sz val="11"/>
        <rFont val="Arial Narrow"/>
        <family val="2"/>
      </rPr>
      <t>(</t>
    </r>
    <r>
      <rPr>
        <b/>
        <i/>
        <sz val="11"/>
        <rFont val="Arial Narrow"/>
        <family val="2"/>
      </rPr>
      <t>n</t>
    </r>
    <r>
      <rPr>
        <b/>
        <sz val="11"/>
        <rFont val="Arial Narrow"/>
        <family val="2"/>
      </rPr>
      <t>)</t>
    </r>
  </si>
  <si>
    <r>
      <rPr>
        <b/>
        <i/>
        <sz val="11"/>
        <rFont val="Arial Narrow"/>
        <family val="2"/>
      </rPr>
      <t>C</t>
    </r>
    <r>
      <rPr>
        <b/>
        <sz val="11"/>
        <rFont val="Arial Narrow"/>
        <family val="2"/>
      </rPr>
      <t>(</t>
    </r>
    <r>
      <rPr>
        <b/>
        <i/>
        <sz val="11"/>
        <rFont val="Arial Narrow"/>
        <family val="2"/>
      </rPr>
      <t>N</t>
    </r>
    <r>
      <rPr>
        <b/>
        <sz val="11"/>
        <rFont val="Arial Narrow"/>
        <family val="2"/>
      </rPr>
      <t>)</t>
    </r>
  </si>
  <si>
    <r>
      <rPr>
        <b/>
        <i/>
        <sz val="11"/>
        <rFont val="Arial Narrow"/>
        <family val="2"/>
      </rPr>
      <t>a</t>
    </r>
    <r>
      <rPr>
        <b/>
        <sz val="11"/>
        <rFont val="Arial Narrow"/>
        <family val="2"/>
      </rPr>
      <t>(</t>
    </r>
    <r>
      <rPr>
        <b/>
        <i/>
        <sz val="11"/>
        <rFont val="Arial Narrow"/>
        <family val="2"/>
      </rPr>
      <t>n</t>
    </r>
    <r>
      <rPr>
        <b/>
        <sz val="11"/>
        <rFont val="Arial Narrow"/>
        <family val="2"/>
      </rPr>
      <t>)</t>
    </r>
  </si>
  <si>
    <r>
      <rPr>
        <b/>
        <i/>
        <sz val="11"/>
        <rFont val="Arial Narrow"/>
        <family val="2"/>
      </rPr>
      <t>b</t>
    </r>
    <r>
      <rPr>
        <b/>
        <sz val="11"/>
        <rFont val="Arial Narrow"/>
        <family val="2"/>
      </rPr>
      <t>(</t>
    </r>
    <r>
      <rPr>
        <b/>
        <i/>
        <sz val="11"/>
        <rFont val="Arial Narrow"/>
        <family val="2"/>
      </rPr>
      <t>n</t>
    </r>
    <r>
      <rPr>
        <b/>
        <sz val="11"/>
        <rFont val="Arial Narrow"/>
        <family val="2"/>
      </rPr>
      <t>)</t>
    </r>
  </si>
  <si>
    <r>
      <rPr>
        <b/>
        <i/>
        <sz val="11"/>
        <rFont val="Arial Narrow"/>
        <family val="2"/>
      </rPr>
      <t>c</t>
    </r>
    <r>
      <rPr>
        <b/>
        <sz val="11"/>
        <rFont val="Arial Narrow"/>
        <family val="2"/>
      </rPr>
      <t>(</t>
    </r>
    <r>
      <rPr>
        <b/>
        <i/>
        <sz val="11"/>
        <rFont val="Arial Narrow"/>
        <family val="2"/>
      </rPr>
      <t>n</t>
    </r>
    <r>
      <rPr>
        <b/>
        <sz val="11"/>
        <rFont val="Arial Narrow"/>
        <family val="2"/>
      </rPr>
      <t>)</t>
    </r>
  </si>
  <si>
    <r>
      <rPr>
        <b/>
        <i/>
        <sz val="11"/>
        <rFont val="Arial Narrow"/>
        <family val="2"/>
      </rPr>
      <t>d</t>
    </r>
    <r>
      <rPr>
        <b/>
        <sz val="11"/>
        <rFont val="Arial Narrow"/>
        <family val="2"/>
      </rPr>
      <t>(</t>
    </r>
    <r>
      <rPr>
        <b/>
        <i/>
        <sz val="11"/>
        <rFont val="Arial Narrow"/>
        <family val="2"/>
      </rPr>
      <t>n</t>
    </r>
    <r>
      <rPr>
        <b/>
        <sz val="11"/>
        <rFont val="Arial Narrow"/>
        <family val="2"/>
      </rPr>
      <t>)</t>
    </r>
  </si>
  <si>
    <t>Age difference</t>
  </si>
  <si>
    <r>
      <rPr>
        <b/>
        <i/>
        <sz val="12"/>
        <color indexed="8"/>
        <rFont val="Times New Roman"/>
        <family val="1"/>
      </rPr>
      <t>l</t>
    </r>
    <r>
      <rPr>
        <b/>
        <sz val="11"/>
        <color indexed="8"/>
        <rFont val="Arial Narrow"/>
        <family val="2"/>
      </rPr>
      <t>(25)</t>
    </r>
  </si>
  <si>
    <r>
      <rPr>
        <b/>
        <i/>
        <u/>
        <sz val="12"/>
        <rFont val="Times New Roman"/>
        <family val="1"/>
      </rPr>
      <t>l</t>
    </r>
    <r>
      <rPr>
        <b/>
        <u/>
        <sz val="11"/>
        <rFont val="Arial Narrow"/>
        <family val="2"/>
      </rPr>
      <t>(25+n)</t>
    </r>
  </si>
  <si>
    <r>
      <rPr>
        <b/>
        <i/>
        <sz val="12"/>
        <rFont val="Times New Roman"/>
        <family val="1"/>
      </rPr>
      <t>l</t>
    </r>
    <r>
      <rPr>
        <b/>
        <i/>
        <vertAlign val="subscript"/>
        <sz val="11"/>
        <rFont val="Arial Narrow"/>
        <family val="2"/>
      </rPr>
      <t>s</t>
    </r>
    <r>
      <rPr>
        <b/>
        <sz val="11"/>
        <rFont val="Arial Narrow"/>
        <family val="2"/>
      </rPr>
      <t>(25+</t>
    </r>
    <r>
      <rPr>
        <b/>
        <i/>
        <sz val="11"/>
        <rFont val="Arial Narrow"/>
        <family val="2"/>
      </rPr>
      <t>n</t>
    </r>
    <r>
      <rPr>
        <b/>
        <sz val="11"/>
        <rFont val="Arial Narrow"/>
        <family val="2"/>
      </rPr>
      <t>)</t>
    </r>
  </si>
  <si>
    <r>
      <rPr>
        <b/>
        <i/>
        <sz val="11"/>
        <rFont val="Arial Narrow"/>
        <family val="2"/>
      </rPr>
      <t>Y</t>
    </r>
    <r>
      <rPr>
        <b/>
        <sz val="11"/>
        <rFont val="Arial Narrow"/>
        <family val="2"/>
      </rPr>
      <t>(</t>
    </r>
    <r>
      <rPr>
        <b/>
        <i/>
        <sz val="11"/>
        <rFont val="Arial Narrow"/>
        <family val="2"/>
      </rPr>
      <t>x</t>
    </r>
    <r>
      <rPr>
        <b/>
        <sz val="11"/>
        <rFont val="Arial Narrow"/>
        <family val="2"/>
      </rPr>
      <t>)</t>
    </r>
  </si>
  <si>
    <r>
      <rPr>
        <b/>
        <i/>
        <sz val="12"/>
        <rFont val="Times New Roman"/>
        <family val="1"/>
      </rPr>
      <t>l</t>
    </r>
    <r>
      <rPr>
        <b/>
        <sz val="11"/>
        <rFont val="Arial Narrow"/>
        <family val="2"/>
      </rPr>
      <t>(</t>
    </r>
    <r>
      <rPr>
        <b/>
        <i/>
        <sz val="11"/>
        <rFont val="Arial Narrow"/>
        <family val="2"/>
      </rPr>
      <t>x</t>
    </r>
    <r>
      <rPr>
        <b/>
        <sz val="11"/>
        <rFont val="Arial Narrow"/>
        <family val="2"/>
      </rPr>
      <t>)</t>
    </r>
  </si>
  <si>
    <t>N</t>
  </si>
  <si>
    <r>
      <rPr>
        <b/>
        <i/>
        <sz val="11"/>
        <rFont val="Arial Narrow"/>
        <family val="2"/>
      </rPr>
      <t>B</t>
    </r>
    <r>
      <rPr>
        <b/>
        <sz val="11"/>
        <rFont val="Arial Narrow"/>
        <family val="2"/>
      </rPr>
      <t>(</t>
    </r>
    <r>
      <rPr>
        <b/>
        <i/>
        <sz val="11"/>
        <rFont val="Arial Narrow"/>
        <family val="2"/>
      </rPr>
      <t>i</t>
    </r>
    <r>
      <rPr>
        <b/>
        <sz val="11"/>
        <rFont val="Arial Narrow"/>
        <family val="2"/>
      </rPr>
      <t>)*</t>
    </r>
    <r>
      <rPr>
        <b/>
        <i/>
        <sz val="11"/>
        <rFont val="Arial Narrow"/>
        <family val="2"/>
      </rPr>
      <t>N</t>
    </r>
  </si>
  <si>
    <r>
      <rPr>
        <b/>
        <i/>
        <sz val="11"/>
        <rFont val="Arial Narrow"/>
        <family val="2"/>
      </rPr>
      <t>B</t>
    </r>
    <r>
      <rPr>
        <b/>
        <sz val="11"/>
        <rFont val="Arial Narrow"/>
        <family val="2"/>
      </rPr>
      <t>(</t>
    </r>
    <r>
      <rPr>
        <b/>
        <i/>
        <sz val="11"/>
        <rFont val="Arial Narrow"/>
        <family val="2"/>
      </rPr>
      <t>i</t>
    </r>
    <r>
      <rPr>
        <b/>
        <sz val="11"/>
        <rFont val="Arial Narrow"/>
        <family val="2"/>
      </rPr>
      <t>)</t>
    </r>
  </si>
  <si>
    <t>last year</t>
  </si>
  <si>
    <t>Births in the</t>
  </si>
  <si>
    <r>
      <rPr>
        <b/>
        <i/>
        <vertAlign val="subscript"/>
        <sz val="11"/>
        <rFont val="Arial Narrow"/>
        <family val="2"/>
      </rPr>
      <t>N</t>
    </r>
    <r>
      <rPr>
        <b/>
        <i/>
        <sz val="11"/>
        <rFont val="Arial Narrow"/>
        <family val="2"/>
      </rPr>
      <t>p</t>
    </r>
    <r>
      <rPr>
        <b/>
        <i/>
        <vertAlign val="subscript"/>
        <sz val="11"/>
        <rFont val="Arial Narrow"/>
        <family val="2"/>
      </rPr>
      <t>M</t>
    </r>
  </si>
  <si>
    <r>
      <rPr>
        <b/>
        <i/>
        <sz val="11"/>
        <rFont val="Arial Narrow"/>
        <family val="2"/>
      </rPr>
      <t>N</t>
    </r>
    <r>
      <rPr>
        <b/>
        <sz val="11"/>
        <rFont val="Arial Narrow"/>
        <family val="2"/>
      </rPr>
      <t>/2</t>
    </r>
  </si>
  <si>
    <t>T</t>
  </si>
  <si>
    <t>Calculation of the mean age at childbearing</t>
  </si>
  <si>
    <t>age</t>
  </si>
  <si>
    <t>group</t>
  </si>
  <si>
    <t>alive</t>
  </si>
  <si>
    <t>surviving</t>
  </si>
  <si>
    <t>prop. alive</t>
  </si>
  <si>
    <t>non-linearity</t>
  </si>
  <si>
    <t>Correction for</t>
  </si>
  <si>
    <t>location</t>
  </si>
  <si>
    <t>α</t>
  </si>
  <si>
    <t xml:space="preserve"> 5- 9</t>
  </si>
  <si>
    <t>Estimation of adult mortality from orphanhood:</t>
  </si>
  <si>
    <t>of exposure</t>
  </si>
  <si>
    <t>Modified</t>
  </si>
  <si>
    <r>
      <rPr>
        <sz val="10"/>
        <rFont val="Calibri"/>
        <family val="2"/>
      </rPr>
      <t>β</t>
    </r>
    <r>
      <rPr>
        <sz val="10"/>
        <rFont val="Arial"/>
        <family val="2"/>
      </rPr>
      <t xml:space="preserve"> =</t>
    </r>
  </si>
  <si>
    <t>Standard life table</t>
  </si>
  <si>
    <r>
      <t>(</t>
    </r>
    <r>
      <rPr>
        <b/>
        <i/>
        <sz val="11"/>
        <rFont val="Arial Narrow"/>
        <family val="2"/>
      </rPr>
      <t>N</t>
    </r>
    <r>
      <rPr>
        <b/>
        <sz val="11"/>
        <rFont val="Arial Narrow"/>
        <family val="2"/>
      </rPr>
      <t>+0.75)/2</t>
    </r>
  </si>
  <si>
    <r>
      <rPr>
        <b/>
        <i/>
        <u/>
        <sz val="12"/>
        <rFont val="Times New Roman"/>
        <family val="1"/>
      </rPr>
      <t>l</t>
    </r>
    <r>
      <rPr>
        <b/>
        <u/>
        <sz val="11"/>
        <rFont val="Arial Narrow"/>
        <family val="2"/>
      </rPr>
      <t>(35+n)</t>
    </r>
  </si>
  <si>
    <r>
      <rPr>
        <b/>
        <i/>
        <sz val="12"/>
        <color indexed="8"/>
        <rFont val="Times New Roman"/>
        <family val="1"/>
      </rPr>
      <t>l</t>
    </r>
    <r>
      <rPr>
        <b/>
        <sz val="11"/>
        <color indexed="8"/>
        <rFont val="Arial Narrow"/>
        <family val="2"/>
      </rPr>
      <t>(35)</t>
    </r>
  </si>
  <si>
    <r>
      <rPr>
        <b/>
        <i/>
        <sz val="12"/>
        <rFont val="Times New Roman"/>
        <family val="1"/>
      </rPr>
      <t>l</t>
    </r>
    <r>
      <rPr>
        <b/>
        <i/>
        <vertAlign val="subscript"/>
        <sz val="11"/>
        <rFont val="Arial Narrow"/>
        <family val="2"/>
      </rPr>
      <t>s</t>
    </r>
    <r>
      <rPr>
        <b/>
        <sz val="11"/>
        <rFont val="Arial Narrow"/>
        <family val="2"/>
      </rPr>
      <t>(35+</t>
    </r>
    <r>
      <rPr>
        <b/>
        <i/>
        <sz val="11"/>
        <rFont val="Arial Narrow"/>
        <family val="2"/>
      </rPr>
      <t>n</t>
    </r>
    <r>
      <rPr>
        <b/>
        <sz val="11"/>
        <rFont val="Arial Narrow"/>
        <family val="2"/>
      </rPr>
      <t>)</t>
    </r>
  </si>
  <si>
    <t>UN General</t>
  </si>
  <si>
    <r>
      <rPr>
        <b/>
        <i/>
        <sz val="11"/>
        <rFont val="Arial Narrow"/>
        <family val="2"/>
      </rPr>
      <t>e</t>
    </r>
    <r>
      <rPr>
        <b/>
        <vertAlign val="subscript"/>
        <sz val="11"/>
        <rFont val="Arial Narrow"/>
        <family val="2"/>
      </rPr>
      <t>0</t>
    </r>
    <r>
      <rPr>
        <b/>
        <sz val="11"/>
        <rFont val="Arial Narrow"/>
        <family val="2"/>
      </rPr>
      <t xml:space="preserve"> = 60</t>
    </r>
  </si>
  <si>
    <r>
      <rPr>
        <b/>
        <i/>
        <sz val="11"/>
        <rFont val="Arial Narrow"/>
        <family val="2"/>
      </rPr>
      <t>Y</t>
    </r>
    <r>
      <rPr>
        <b/>
        <vertAlign val="subscript"/>
        <sz val="11"/>
        <rFont val="Arial Narrow"/>
        <family val="2"/>
      </rPr>
      <t>s</t>
    </r>
    <r>
      <rPr>
        <b/>
        <sz val="11"/>
        <rFont val="Arial Narrow"/>
        <family val="2"/>
      </rPr>
      <t>(</t>
    </r>
    <r>
      <rPr>
        <b/>
        <i/>
        <sz val="11"/>
        <rFont val="Arial Narrow"/>
        <family val="2"/>
      </rPr>
      <t>x</t>
    </r>
    <r>
      <rPr>
        <b/>
        <sz val="11"/>
        <rFont val="Arial Narrow"/>
        <family val="2"/>
      </rPr>
      <t>)</t>
    </r>
  </si>
  <si>
    <t>Father</t>
  </si>
  <si>
    <t>Married men</t>
  </si>
  <si>
    <t>Married women</t>
  </si>
  <si>
    <t>respondents</t>
  </si>
  <si>
    <r>
      <t>M</t>
    </r>
    <r>
      <rPr>
        <b/>
        <i/>
        <vertAlign val="superscript"/>
        <sz val="12"/>
        <rFont val="Arial Narrow"/>
        <family val="2"/>
      </rPr>
      <t>m</t>
    </r>
    <r>
      <rPr>
        <b/>
        <i/>
        <sz val="12"/>
        <rFont val="Arial Narrow"/>
        <family val="2"/>
      </rPr>
      <t xml:space="preserve"> = </t>
    </r>
  </si>
  <si>
    <r>
      <t>M</t>
    </r>
    <r>
      <rPr>
        <b/>
        <i/>
        <vertAlign val="superscript"/>
        <sz val="12"/>
        <rFont val="Arial Narrow"/>
        <family val="2"/>
      </rPr>
      <t>f</t>
    </r>
    <r>
      <rPr>
        <b/>
        <i/>
        <sz val="12"/>
        <rFont val="Arial Narrow"/>
        <family val="2"/>
      </rPr>
      <t xml:space="preserve"> = </t>
    </r>
  </si>
  <si>
    <t>(1989 data)</t>
  </si>
  <si>
    <t>Data entry:</t>
  </si>
  <si>
    <t>Enter date of interview:</t>
  </si>
  <si>
    <t>Select summary index:</t>
  </si>
  <si>
    <t>Select standard life table:</t>
  </si>
  <si>
    <t>Name of country/population:</t>
  </si>
  <si>
    <t>This spreadsheet estimates adult women's and men's mortality from proportions of respondents with living mothers and fathers. If you have several sets of such data from multiple inquiries, you are advised to use the "Synthetic orphanhood in adulthood" spreadsheet to make estimates as such data open up additional analytic possibilities.</t>
  </si>
  <si>
    <t>age at interview</t>
  </si>
  <si>
    <t xml:space="preserve">Births by: </t>
  </si>
  <si>
    <t>Input parameters</t>
  </si>
  <si>
    <t xml:space="preserve">Date of inquiry: </t>
  </si>
  <si>
    <t>Version 1.0 Date: 8/11/2011</t>
  </si>
  <si>
    <t xml:space="preserve">This method is described at: </t>
  </si>
  <si>
    <t>30q30</t>
  </si>
  <si>
    <t>1)</t>
  </si>
  <si>
    <t>2)</t>
  </si>
  <si>
    <t>3)</t>
  </si>
  <si>
    <t>4)</t>
  </si>
  <si>
    <t>5)</t>
  </si>
  <si>
    <t>OR</t>
  </si>
  <si>
    <t>6)</t>
  </si>
  <si>
    <t>7)</t>
  </si>
  <si>
    <t>8)</t>
  </si>
  <si>
    <t>Select the summary index of adult mortality that you wish to tabulate and plot using the drop down box to the right of this cell.</t>
  </si>
  <si>
    <t>Maternal orphanhood</t>
  </si>
  <si>
    <t>Princeton East</t>
  </si>
  <si>
    <t>Princeton North</t>
  </si>
  <si>
    <t>Princeton South</t>
  </si>
  <si>
    <t>Princeton West</t>
  </si>
  <si>
    <t>Regression coefficients (Timaeus, 1992)</t>
  </si>
  <si>
    <t>α =</t>
  </si>
  <si>
    <t>Paternal orphanhood</t>
  </si>
  <si>
    <t>Age group</t>
  </si>
  <si>
    <r>
      <t xml:space="preserve">Model life table logits </t>
    </r>
    <r>
      <rPr>
        <b/>
        <i/>
        <sz val="12"/>
        <rFont val="Arial"/>
        <family val="2"/>
      </rPr>
      <t>e</t>
    </r>
    <r>
      <rPr>
        <b/>
        <vertAlign val="subscript"/>
        <sz val="12"/>
        <rFont val="Arial"/>
        <family val="2"/>
      </rPr>
      <t>0</t>
    </r>
    <r>
      <rPr>
        <b/>
        <sz val="12"/>
        <rFont val="Arial"/>
        <family val="2"/>
      </rPr>
      <t>=60, both sexes</t>
    </r>
  </si>
  <si>
    <t>Date of inquiry:</t>
  </si>
  <si>
    <t>Probability</t>
  </si>
  <si>
    <t>of dying</t>
  </si>
  <si>
    <t>Mean age of child bearing</t>
  </si>
  <si>
    <t>Iraq</t>
  </si>
  <si>
    <t>+</t>
  </si>
  <si>
    <t>Estimation of adult mortality from data on orphanhood - Instructions</t>
  </si>
  <si>
    <t xml:space="preserve">Calculation of the median ages of the currently married </t>
  </si>
  <si>
    <t xml:space="preserve"> Cumulative % of men</t>
  </si>
  <si>
    <t xml:space="preserve"> Cumulative % of women</t>
  </si>
  <si>
    <t>Women - Male respondents</t>
  </si>
  <si>
    <t>Women - Female respondents</t>
  </si>
  <si>
    <t>Women - all respondents</t>
  </si>
  <si>
    <t>Men - all respondents</t>
  </si>
  <si>
    <t>Men - Male respondents</t>
  </si>
  <si>
    <t>Men - Female respondents</t>
  </si>
  <si>
    <t>Other</t>
  </si>
  <si>
    <t>Enter the name of the country or population to the right of this cell.</t>
  </si>
  <si>
    <t>Select the name of family of model life tables against which you want to assess the level and trend in mortality in this population using the drop down box to the right of this cell.</t>
  </si>
  <si>
    <t>Enter the mean date of interview or mid-point of the period over which fieldwork for the inquiry was conducted in the cell to the right.</t>
  </si>
  <si>
    <r>
      <rPr>
        <b/>
        <i/>
        <sz val="10"/>
        <color theme="9" tint="-0.499984740745262"/>
        <rFont val="Arial"/>
        <family val="2"/>
      </rPr>
      <t>M</t>
    </r>
    <r>
      <rPr>
        <b/>
        <sz val="10"/>
        <color theme="9" tint="-0.499984740745262"/>
        <rFont val="Arial"/>
        <family val="2"/>
      </rPr>
      <t xml:space="preserve"> =</t>
    </r>
  </si>
  <si>
    <t>http://demographicestimation.iussp.org/content/orphanhood</t>
  </si>
  <si>
    <r>
      <t xml:space="preserve">If you have data on numbers of male and female respondents and numbers of them with living mothers by age group, paste these into cells </t>
    </r>
    <r>
      <rPr>
        <b/>
        <sz val="12"/>
        <rFont val="Arial"/>
        <family val="2"/>
      </rPr>
      <t>B6:C14</t>
    </r>
    <r>
      <rPr>
        <sz val="12"/>
        <rFont val="Arial"/>
        <family val="2"/>
      </rPr>
      <t xml:space="preserve"> and</t>
    </r>
    <r>
      <rPr>
        <b/>
        <sz val="12"/>
        <rFont val="Arial"/>
        <family val="2"/>
      </rPr>
      <t xml:space="preserve"> B19:C27</t>
    </r>
    <r>
      <rPr>
        <sz val="12"/>
        <rFont val="Arial"/>
        <family val="2"/>
      </rPr>
      <t xml:space="preserve"> of the </t>
    </r>
    <r>
      <rPr>
        <b/>
        <i/>
        <sz val="12"/>
        <rFont val="Arial"/>
        <family val="2"/>
      </rPr>
      <t>Maternal orphanhood</t>
    </r>
    <r>
      <rPr>
        <sz val="12"/>
        <rFont val="Arial"/>
        <family val="2"/>
      </rPr>
      <t xml:space="preserve"> sheet. The counts of respondents should exclude anyone who did not know whether their mother was alive or did not answer the question.</t>
    </r>
  </si>
  <si>
    <r>
      <t xml:space="preserve">If you have data on the proportions of male and female respondents with living mothers by age group, paste these into cells </t>
    </r>
    <r>
      <rPr>
        <b/>
        <sz val="12"/>
        <rFont val="Arial"/>
        <family val="2"/>
      </rPr>
      <t>D6:D14</t>
    </r>
    <r>
      <rPr>
        <sz val="12"/>
        <rFont val="Arial"/>
        <family val="2"/>
      </rPr>
      <t xml:space="preserve"> and </t>
    </r>
    <r>
      <rPr>
        <b/>
        <sz val="12"/>
        <rFont val="Arial"/>
        <family val="2"/>
      </rPr>
      <t>D19:D27</t>
    </r>
    <r>
      <rPr>
        <sz val="12"/>
        <rFont val="Arial"/>
        <family val="2"/>
      </rPr>
      <t xml:space="preserve"> of the </t>
    </r>
    <r>
      <rPr>
        <b/>
        <i/>
        <sz val="12"/>
        <rFont val="Arial"/>
        <family val="2"/>
      </rPr>
      <t>Maternal orphanhood</t>
    </r>
    <r>
      <rPr>
        <sz val="12"/>
        <rFont val="Arial"/>
        <family val="2"/>
      </rPr>
      <t xml:space="preserve"> sheet. If they are expressed as percentages, divide them by 100 before doing this.</t>
    </r>
  </si>
  <si>
    <r>
      <t xml:space="preserve">If you only have data on respondents of both sexes combined by age group, paste the numbers of respondents and numbers with living mothers into cells </t>
    </r>
    <r>
      <rPr>
        <b/>
        <sz val="12"/>
        <rFont val="Arial"/>
        <family val="2"/>
      </rPr>
      <t>B32:C40</t>
    </r>
    <r>
      <rPr>
        <sz val="12"/>
        <rFont val="Arial"/>
        <family val="2"/>
      </rPr>
      <t xml:space="preserve"> or proportions with living mothers into cells </t>
    </r>
    <r>
      <rPr>
        <b/>
        <sz val="12"/>
        <rFont val="Arial"/>
        <family val="2"/>
      </rPr>
      <t>D32:D40</t>
    </r>
    <r>
      <rPr>
        <sz val="12"/>
        <rFont val="Arial"/>
        <family val="2"/>
      </rPr>
      <t xml:space="preserve"> of the </t>
    </r>
    <r>
      <rPr>
        <b/>
        <i/>
        <sz val="12"/>
        <rFont val="Arial"/>
        <family val="2"/>
      </rPr>
      <t>Maternal orphanhood</t>
    </r>
    <r>
      <rPr>
        <sz val="12"/>
        <rFont val="Arial"/>
        <family val="2"/>
      </rPr>
      <t xml:space="preserve"> sheet.</t>
    </r>
  </si>
  <si>
    <r>
      <t xml:space="preserve">If you have data on numbers of male and female respondents and numbers of them with living fathers by age group, paste these into cells </t>
    </r>
    <r>
      <rPr>
        <b/>
        <sz val="12"/>
        <rFont val="Arial"/>
        <family val="2"/>
      </rPr>
      <t>B6:C13</t>
    </r>
    <r>
      <rPr>
        <sz val="12"/>
        <rFont val="Arial"/>
        <family val="2"/>
      </rPr>
      <t xml:space="preserve"> and </t>
    </r>
    <r>
      <rPr>
        <b/>
        <sz val="12"/>
        <rFont val="Arial"/>
        <family val="2"/>
      </rPr>
      <t>B18:C25</t>
    </r>
    <r>
      <rPr>
        <sz val="12"/>
        <rFont val="Arial"/>
        <family val="2"/>
      </rPr>
      <t xml:space="preserve"> of the </t>
    </r>
    <r>
      <rPr>
        <b/>
        <i/>
        <sz val="12"/>
        <rFont val="Arial"/>
        <family val="2"/>
      </rPr>
      <t>Paternal orphanhood</t>
    </r>
    <r>
      <rPr>
        <sz val="12"/>
        <rFont val="Arial"/>
        <family val="2"/>
      </rPr>
      <t xml:space="preserve"> sheet. The counts of respondents should exclude anyone who did not know whether their father was alive or did not answer the question.</t>
    </r>
  </si>
  <si>
    <r>
      <t xml:space="preserve">If you have data on the proportions of male and female respondents with living fathers by age group, paste these into cells </t>
    </r>
    <r>
      <rPr>
        <b/>
        <sz val="12"/>
        <rFont val="Arial"/>
        <family val="2"/>
      </rPr>
      <t>D6:D13</t>
    </r>
    <r>
      <rPr>
        <sz val="12"/>
        <rFont val="Arial"/>
        <family val="2"/>
      </rPr>
      <t xml:space="preserve"> and </t>
    </r>
    <r>
      <rPr>
        <b/>
        <sz val="12"/>
        <rFont val="Arial"/>
        <family val="2"/>
      </rPr>
      <t>D18:D25</t>
    </r>
    <r>
      <rPr>
        <sz val="12"/>
        <rFont val="Arial"/>
        <family val="2"/>
      </rPr>
      <t xml:space="preserve"> of the </t>
    </r>
    <r>
      <rPr>
        <b/>
        <i/>
        <sz val="12"/>
        <rFont val="Arial"/>
        <family val="2"/>
      </rPr>
      <t>Paternal orphanhood</t>
    </r>
    <r>
      <rPr>
        <sz val="12"/>
        <rFont val="Arial"/>
        <family val="2"/>
      </rPr>
      <t xml:space="preserve"> sheet. If they are expressed as percentages, divide them by 100 before doing this.</t>
    </r>
  </si>
  <si>
    <r>
      <t xml:space="preserve">If you only have data on respondents of both sexes combined by age group, paste the numbers of respondents and numbers with living fathers into cells </t>
    </r>
    <r>
      <rPr>
        <b/>
        <sz val="12"/>
        <rFont val="Arial"/>
        <family val="2"/>
      </rPr>
      <t>B30:C37</t>
    </r>
    <r>
      <rPr>
        <sz val="12"/>
        <rFont val="Arial"/>
        <family val="2"/>
      </rPr>
      <t xml:space="preserve"> or the proportions with living fathers into cells </t>
    </r>
    <r>
      <rPr>
        <b/>
        <sz val="12"/>
        <rFont val="Arial"/>
        <family val="2"/>
      </rPr>
      <t>D30:D37</t>
    </r>
    <r>
      <rPr>
        <sz val="12"/>
        <rFont val="Arial"/>
        <family val="2"/>
      </rPr>
      <t xml:space="preserve"> of the </t>
    </r>
    <r>
      <rPr>
        <b/>
        <i/>
        <sz val="12"/>
        <rFont val="Arial"/>
        <family val="2"/>
      </rPr>
      <t>Paternal orphanhood</t>
    </r>
    <r>
      <rPr>
        <sz val="12"/>
        <rFont val="Arial"/>
        <family val="2"/>
      </rPr>
      <t xml:space="preserve"> sheet.</t>
    </r>
  </si>
  <si>
    <r>
      <t xml:space="preserve">To calculate the mean age of childbearing of women, paste the number of births in the year before the survey by age of mother into cells </t>
    </r>
    <r>
      <rPr>
        <b/>
        <sz val="12"/>
        <rFont val="Arial"/>
        <family val="2"/>
      </rPr>
      <t>B47:B53</t>
    </r>
    <r>
      <rPr>
        <sz val="12"/>
        <rFont val="Arial"/>
        <family val="2"/>
      </rPr>
      <t xml:space="preserve"> of the </t>
    </r>
    <r>
      <rPr>
        <b/>
        <i/>
        <sz val="12"/>
        <rFont val="Arial"/>
        <family val="2"/>
      </rPr>
      <t>Maternal orphanhood</t>
    </r>
    <r>
      <rPr>
        <sz val="12"/>
        <rFont val="Arial"/>
        <family val="2"/>
      </rPr>
      <t xml:space="preserve"> sheet. By default, it is assumed that the births are tabulated by women's age at interview, not age at giving birth but there is an option to change this.</t>
    </r>
  </si>
  <si>
    <r>
      <t xml:space="preserve">To estimate the mean age of childbearing of men, enter the numbers of currently married men and women by age group into cells </t>
    </r>
    <r>
      <rPr>
        <b/>
        <sz val="12"/>
        <rFont val="Arial"/>
        <family val="2"/>
      </rPr>
      <t>C47:D61</t>
    </r>
    <r>
      <rPr>
        <sz val="12"/>
        <rFont val="Arial"/>
        <family val="2"/>
      </rPr>
      <t xml:space="preserve"> of the </t>
    </r>
    <r>
      <rPr>
        <b/>
        <i/>
        <sz val="12"/>
        <rFont val="Arial"/>
        <family val="2"/>
      </rPr>
      <t>Paternal orphanhood</t>
    </r>
    <r>
      <rPr>
        <sz val="12"/>
        <rFont val="Arial"/>
        <family val="2"/>
      </rPr>
      <t xml:space="preserve"> sheet. These data are used to calculate the median ages of the currently married and should include all married individuals of any age, but you can insert data with any open-ended age group with an initial age exceeding these medians, which are unlikely to be more than 45.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</si>
</sst>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64" formatCode="_-* #,##0.00_-;\-* #,##0.00_-;_-* &quot;-&quot;??_-;_-@_-"/>
    <numFmt numFmtId="165" formatCode="General_)"/>
    <numFmt numFmtId="166" formatCode="0.0000_)"/>
    <numFmt numFmtId="167" formatCode="0.00_)"/>
    <numFmt numFmtId="168" formatCode="0_)"/>
    <numFmt numFmtId="169" formatCode="0.000_)"/>
    <numFmt numFmtId="170" formatCode="0.0_)"/>
    <numFmt numFmtId="171" formatCode="_(* #,##0_);_(* \(#,##0\);_(* &quot;-&quot;??_);_(@_)"/>
    <numFmt numFmtId="172" formatCode="0.00000"/>
    <numFmt numFmtId="173" formatCode="\-#,##0"/>
    <numFmt numFmtId="174" formatCode="0.00000_)"/>
  </numFmts>
  <fonts count="50">
    <font>
      <sz val="12"/>
      <name val="Courier"/>
    </font>
    <font>
      <sz val="10"/>
      <name val="Arial"/>
      <family val="2"/>
    </font>
    <font>
      <sz val="10"/>
      <name val="Arial"/>
      <family val="2"/>
    </font>
    <font>
      <sz val="10"/>
      <color indexed="8"/>
      <name val="Arial"/>
      <family val="2"/>
    </font>
    <font>
      <u/>
      <sz val="10"/>
      <name val="Arial"/>
      <family val="2"/>
    </font>
    <font>
      <sz val="9"/>
      <name val="Arial"/>
      <family val="2"/>
    </font>
    <font>
      <sz val="10"/>
      <name val="Courier"/>
      <family val="3"/>
    </font>
    <font>
      <u/>
      <sz val="10"/>
      <color indexed="8"/>
      <name val="Arial"/>
      <family val="2"/>
    </font>
    <font>
      <b/>
      <sz val="12"/>
      <name val="Arial"/>
      <family val="2"/>
    </font>
    <font>
      <sz val="12"/>
      <name val="Arial"/>
      <family val="2"/>
    </font>
    <font>
      <i/>
      <sz val="10"/>
      <name val="Arial"/>
      <family val="2"/>
    </font>
    <font>
      <sz val="10"/>
      <name val="Calibri"/>
      <family val="2"/>
    </font>
    <font>
      <sz val="10"/>
      <name val="Courier"/>
      <family val="3"/>
    </font>
    <font>
      <sz val="12"/>
      <name val="Courier"/>
      <family val="3"/>
    </font>
    <font>
      <sz val="12"/>
      <name val="Arial Narrow"/>
      <family val="2"/>
    </font>
    <font>
      <b/>
      <sz val="12"/>
      <name val="Arial Narrow"/>
      <family val="2"/>
    </font>
    <font>
      <b/>
      <sz val="11"/>
      <name val="Arial Narrow"/>
      <family val="2"/>
    </font>
    <font>
      <b/>
      <u/>
      <sz val="11"/>
      <name val="Arial Narrow"/>
      <family val="2"/>
    </font>
    <font>
      <b/>
      <i/>
      <sz val="11"/>
      <name val="Arial Narrow"/>
      <family val="2"/>
    </font>
    <font>
      <b/>
      <sz val="11"/>
      <color indexed="8"/>
      <name val="Arial Narrow"/>
      <family val="2"/>
    </font>
    <font>
      <b/>
      <i/>
      <sz val="11"/>
      <color indexed="8"/>
      <name val="Arial Narrow"/>
      <family val="2"/>
    </font>
    <font>
      <b/>
      <i/>
      <vertAlign val="subscript"/>
      <sz val="11"/>
      <name val="Arial Narrow"/>
      <family val="2"/>
    </font>
    <font>
      <b/>
      <sz val="11"/>
      <name val="Arial"/>
      <family val="2"/>
    </font>
    <font>
      <b/>
      <sz val="11"/>
      <name val="Calibri"/>
      <family val="2"/>
    </font>
    <font>
      <sz val="8"/>
      <name val="SAS Monospace"/>
    </font>
    <font>
      <u/>
      <sz val="10"/>
      <color theme="10"/>
      <name val="Arial"/>
      <family val="2"/>
    </font>
    <font>
      <b/>
      <i/>
      <sz val="12"/>
      <color indexed="8"/>
      <name val="Times New Roman"/>
      <family val="1"/>
    </font>
    <font>
      <b/>
      <i/>
      <sz val="12"/>
      <name val="Times New Roman"/>
      <family val="1"/>
    </font>
    <font>
      <b/>
      <i/>
      <u/>
      <sz val="12"/>
      <name val="Times New Roman"/>
      <family val="1"/>
    </font>
    <font>
      <b/>
      <i/>
      <sz val="12"/>
      <name val="Arial"/>
      <family val="2"/>
    </font>
    <font>
      <b/>
      <i/>
      <vertAlign val="superscript"/>
      <sz val="12"/>
      <name val="Arial Narrow"/>
      <family val="2"/>
    </font>
    <font>
      <b/>
      <i/>
      <sz val="12"/>
      <name val="Arial Narrow"/>
      <family val="2"/>
    </font>
    <font>
      <b/>
      <vertAlign val="subscript"/>
      <sz val="11"/>
      <name val="Arial Narrow"/>
      <family val="2"/>
    </font>
    <font>
      <sz val="11"/>
      <color indexed="8"/>
      <name val="Calibri"/>
      <family val="2"/>
    </font>
    <font>
      <u/>
      <sz val="12"/>
      <color theme="10"/>
      <name val="Arial"/>
      <family val="2"/>
    </font>
    <font>
      <i/>
      <sz val="12"/>
      <name val="Arial"/>
      <family val="2"/>
    </font>
    <font>
      <sz val="9"/>
      <color indexed="81"/>
      <name val="Tahoma"/>
      <family val="2"/>
    </font>
    <font>
      <sz val="12"/>
      <color rgb="FFFF0000"/>
      <name val="Arial"/>
      <family val="2"/>
    </font>
    <font>
      <sz val="12"/>
      <color theme="0"/>
      <name val="Arial"/>
      <family val="2"/>
    </font>
    <font>
      <i/>
      <sz val="12"/>
      <color indexed="81"/>
      <name val="Times New Roman"/>
      <family val="1"/>
    </font>
    <font>
      <b/>
      <vertAlign val="subscript"/>
      <sz val="12"/>
      <name val="Arial"/>
      <family val="2"/>
    </font>
    <font>
      <sz val="12"/>
      <color rgb="FF006600"/>
      <name val="Arial"/>
      <family val="2"/>
    </font>
    <font>
      <i/>
      <sz val="12"/>
      <color rgb="FF006600"/>
      <name val="Arial"/>
      <family val="2"/>
    </font>
    <font>
      <sz val="10"/>
      <color rgb="FF006600"/>
      <name val="Arial"/>
      <family val="2"/>
    </font>
    <font>
      <sz val="10"/>
      <color theme="9" tint="-0.499984740745262"/>
      <name val="Arial"/>
      <family val="2"/>
    </font>
    <font>
      <b/>
      <sz val="10"/>
      <color theme="9" tint="-0.499984740745262"/>
      <name val="Arial"/>
      <family val="2"/>
    </font>
    <font>
      <b/>
      <i/>
      <sz val="10"/>
      <color theme="9" tint="-0.499984740745262"/>
      <name val="Arial"/>
      <family val="2"/>
    </font>
    <font>
      <sz val="12"/>
      <color rgb="FF006600"/>
      <name val="Courier"/>
      <family val="3"/>
    </font>
    <font>
      <sz val="10"/>
      <name val="Arial"/>
      <family val="2"/>
    </font>
    <font>
      <sz val="10"/>
      <color theme="1"/>
      <name val="Arial"/>
      <family val="2"/>
    </font>
  </fonts>
  <fills count="7">
    <fill>
      <patternFill patternType="none"/>
    </fill>
    <fill>
      <patternFill patternType="gray125"/>
    </fill>
    <fill>
      <patternFill patternType="solid">
        <fgColor rgb="FFC6EFCE"/>
        <bgColor indexed="64"/>
      </patternFill>
    </fill>
    <fill>
      <patternFill patternType="solid">
        <fgColor rgb="FFFFEB9B"/>
        <bgColor indexed="64"/>
      </patternFill>
    </fill>
    <fill>
      <patternFill patternType="solid">
        <fgColor theme="0"/>
        <bgColor indexed="64"/>
      </patternFill>
    </fill>
    <fill>
      <patternFill patternType="solid">
        <fgColor rgb="FFFFEB9C"/>
        <bgColor indexed="64"/>
      </patternFill>
    </fill>
    <fill>
      <patternFill patternType="solid">
        <fgColor theme="5" tint="0.39997558519241921"/>
        <bgColor indexed="64"/>
      </patternFill>
    </fill>
  </fills>
  <borders count="16">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style="thin">
        <color indexed="64"/>
      </top>
      <bottom style="thin">
        <color indexed="64"/>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medium">
        <color theme="9" tint="-0.499984740745262"/>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s>
  <cellStyleXfs count="15">
    <xf numFmtId="165" fontId="0" fillId="0" borderId="0"/>
    <xf numFmtId="164" fontId="1" fillId="0" borderId="0" applyFont="0" applyFill="0" applyBorder="0" applyAlignment="0" applyProtection="0"/>
    <xf numFmtId="166" fontId="12" fillId="0" borderId="0"/>
    <xf numFmtId="166" fontId="12" fillId="0" borderId="0"/>
    <xf numFmtId="0" fontId="24" fillId="0" borderId="0"/>
    <xf numFmtId="0" fontId="2" fillId="0" borderId="0"/>
    <xf numFmtId="0" fontId="25" fillId="0" borderId="0" applyNumberFormat="0" applyFill="0" applyBorder="0" applyAlignment="0" applyProtection="0">
      <alignment vertical="top"/>
      <protection locked="0"/>
    </xf>
    <xf numFmtId="0" fontId="24" fillId="0" borderId="0"/>
    <xf numFmtId="0" fontId="2" fillId="0" borderId="0"/>
    <xf numFmtId="43" fontId="33" fillId="0" borderId="0" applyFont="0" applyFill="0" applyBorder="0" applyAlignment="0" applyProtection="0"/>
    <xf numFmtId="165" fontId="13" fillId="0" borderId="0"/>
    <xf numFmtId="166" fontId="6" fillId="0" borderId="0"/>
    <xf numFmtId="0" fontId="1" fillId="0" borderId="0"/>
    <xf numFmtId="0" fontId="48" fillId="0" borderId="0"/>
    <xf numFmtId="0" fontId="49" fillId="0" borderId="0"/>
  </cellStyleXfs>
  <cellXfs count="223">
    <xf numFmtId="165" fontId="0" fillId="0" borderId="0" xfId="0"/>
    <xf numFmtId="165" fontId="2" fillId="0" borderId="0" xfId="0" applyFont="1" applyAlignment="1" applyProtection="1">
      <alignment horizontal="center"/>
    </xf>
    <xf numFmtId="166" fontId="2" fillId="0" borderId="0" xfId="0" applyNumberFormat="1" applyFont="1" applyProtection="1"/>
    <xf numFmtId="165" fontId="2" fillId="0" borderId="0" xfId="0" applyFont="1" applyProtection="1"/>
    <xf numFmtId="165" fontId="2" fillId="0" borderId="0" xfId="0" applyFont="1" applyAlignment="1" applyProtection="1">
      <alignment horizontal="right"/>
    </xf>
    <xf numFmtId="165" fontId="9" fillId="0" borderId="0" xfId="0" applyFont="1"/>
    <xf numFmtId="165" fontId="8" fillId="0" borderId="0" xfId="0" quotePrefix="1" applyFont="1" applyAlignment="1" applyProtection="1">
      <alignment horizontal="left"/>
    </xf>
    <xf numFmtId="166" fontId="2" fillId="0" borderId="0" xfId="0" applyNumberFormat="1" applyFont="1" applyBorder="1" applyProtection="1"/>
    <xf numFmtId="166" fontId="2" fillId="0" borderId="0" xfId="0" applyNumberFormat="1" applyFont="1" applyFill="1" applyBorder="1" applyAlignment="1" applyProtection="1">
      <alignment horizontal="right"/>
    </xf>
    <xf numFmtId="166" fontId="2" fillId="0" borderId="0" xfId="0" applyNumberFormat="1" applyFont="1" applyFill="1" applyBorder="1" applyProtection="1"/>
    <xf numFmtId="166" fontId="2" fillId="0" borderId="0" xfId="0" applyNumberFormat="1" applyFont="1" applyFill="1" applyBorder="1" applyAlignment="1" applyProtection="1">
      <alignment horizontal="center"/>
    </xf>
    <xf numFmtId="167" fontId="3" fillId="0" borderId="0" xfId="0" applyNumberFormat="1" applyFont="1" applyFill="1" applyBorder="1" applyProtection="1"/>
    <xf numFmtId="165" fontId="13" fillId="0" borderId="0" xfId="0" applyFont="1"/>
    <xf numFmtId="165" fontId="2" fillId="0" borderId="0" xfId="0" applyFont="1" applyFill="1" applyProtection="1"/>
    <xf numFmtId="165" fontId="2" fillId="0" borderId="0" xfId="0" applyFont="1" applyFill="1" applyAlignment="1" applyProtection="1">
      <alignment horizontal="left"/>
    </xf>
    <xf numFmtId="165" fontId="8" fillId="0" borderId="0" xfId="0" applyFont="1" applyAlignment="1" applyProtection="1">
      <alignment horizontal="left"/>
    </xf>
    <xf numFmtId="165" fontId="9" fillId="0" borderId="0" xfId="0" applyFont="1" applyFill="1"/>
    <xf numFmtId="3" fontId="2" fillId="0" borderId="0" xfId="0" applyNumberFormat="1" applyFont="1" applyFill="1" applyProtection="1"/>
    <xf numFmtId="166" fontId="1" fillId="0" borderId="0" xfId="0" applyNumberFormat="1" applyFont="1" applyFill="1" applyBorder="1" applyAlignment="1" applyProtection="1">
      <alignment horizontal="right"/>
    </xf>
    <xf numFmtId="166" fontId="1" fillId="0" borderId="0" xfId="0" applyNumberFormat="1" applyFont="1" applyFill="1" applyBorder="1" applyProtection="1"/>
    <xf numFmtId="166" fontId="1" fillId="0" borderId="0" xfId="0" applyNumberFormat="1" applyFont="1" applyFill="1" applyBorder="1" applyAlignment="1" applyProtection="1">
      <alignment horizontal="center"/>
    </xf>
    <xf numFmtId="167" fontId="1" fillId="0" borderId="0" xfId="0" applyNumberFormat="1" applyFont="1" applyFill="1" applyBorder="1" applyProtection="1"/>
    <xf numFmtId="165" fontId="16" fillId="4" borderId="1" xfId="0" applyFont="1" applyFill="1" applyBorder="1" applyAlignment="1" applyProtection="1">
      <alignment horizontal="center"/>
    </xf>
    <xf numFmtId="165" fontId="16" fillId="4" borderId="2" xfId="0" applyFont="1" applyFill="1" applyBorder="1" applyAlignment="1" applyProtection="1">
      <alignment horizontal="center"/>
    </xf>
    <xf numFmtId="165" fontId="19" fillId="4" borderId="2" xfId="0" applyFont="1" applyFill="1" applyBorder="1" applyAlignment="1" applyProtection="1">
      <alignment horizontal="center"/>
    </xf>
    <xf numFmtId="166" fontId="16" fillId="4" borderId="2" xfId="0" applyNumberFormat="1" applyFont="1" applyFill="1" applyBorder="1" applyAlignment="1" applyProtection="1">
      <alignment horizontal="center"/>
    </xf>
    <xf numFmtId="165" fontId="2" fillId="4" borderId="0" xfId="0" applyFont="1" applyFill="1" applyAlignment="1" applyProtection="1">
      <alignment horizontal="center"/>
    </xf>
    <xf numFmtId="166" fontId="2" fillId="4" borderId="0" xfId="0" applyNumberFormat="1" applyFont="1" applyFill="1" applyProtection="1"/>
    <xf numFmtId="169" fontId="2" fillId="4" borderId="0" xfId="0" applyNumberFormat="1" applyFont="1" applyFill="1" applyProtection="1"/>
    <xf numFmtId="165" fontId="2" fillId="4" borderId="2" xfId="0" applyFont="1" applyFill="1" applyBorder="1" applyAlignment="1" applyProtection="1">
      <alignment horizontal="center"/>
    </xf>
    <xf numFmtId="166" fontId="2" fillId="4" borderId="2" xfId="0" applyNumberFormat="1" applyFont="1" applyFill="1" applyBorder="1" applyProtection="1"/>
    <xf numFmtId="169" fontId="2" fillId="4" borderId="2" xfId="0" applyNumberFormat="1" applyFont="1" applyFill="1" applyBorder="1" applyProtection="1"/>
    <xf numFmtId="165" fontId="16" fillId="4" borderId="0" xfId="0" applyFont="1" applyFill="1" applyBorder="1" applyAlignment="1" applyProtection="1">
      <alignment horizontal="center"/>
    </xf>
    <xf numFmtId="165" fontId="16" fillId="4" borderId="0" xfId="0" quotePrefix="1" applyFont="1" applyFill="1" applyBorder="1" applyAlignment="1" applyProtection="1">
      <alignment horizontal="center"/>
    </xf>
    <xf numFmtId="165" fontId="18" fillId="4" borderId="2" xfId="0" applyFont="1" applyFill="1" applyBorder="1" applyAlignment="1" applyProtection="1">
      <alignment horizontal="center"/>
    </xf>
    <xf numFmtId="3" fontId="2" fillId="4" borderId="0" xfId="0" applyNumberFormat="1" applyFont="1" applyFill="1" applyProtection="1"/>
    <xf numFmtId="3" fontId="2" fillId="4" borderId="2" xfId="0" applyNumberFormat="1" applyFont="1" applyFill="1" applyBorder="1" applyProtection="1"/>
    <xf numFmtId="166" fontId="16" fillId="4" borderId="0" xfId="0" applyNumberFormat="1" applyFont="1" applyFill="1" applyBorder="1" applyAlignment="1" applyProtection="1">
      <alignment horizontal="center"/>
    </xf>
    <xf numFmtId="167" fontId="2" fillId="4" borderId="0" xfId="0" applyNumberFormat="1" applyFont="1" applyFill="1" applyProtection="1"/>
    <xf numFmtId="167" fontId="2" fillId="4" borderId="2" xfId="0" applyNumberFormat="1" applyFont="1" applyFill="1" applyBorder="1" applyProtection="1"/>
    <xf numFmtId="165" fontId="2" fillId="4" borderId="0" xfId="0" applyFont="1" applyFill="1" applyProtection="1"/>
    <xf numFmtId="165" fontId="2" fillId="4" borderId="2" xfId="0" applyFont="1" applyFill="1" applyBorder="1" applyProtection="1"/>
    <xf numFmtId="165" fontId="23" fillId="4" borderId="2" xfId="0" quotePrefix="1" applyFont="1" applyFill="1" applyBorder="1" applyAlignment="1" applyProtection="1">
      <alignment horizontal="center"/>
    </xf>
    <xf numFmtId="165" fontId="2" fillId="4" borderId="0" xfId="0" applyFont="1" applyFill="1" applyBorder="1" applyAlignment="1" applyProtection="1">
      <alignment horizontal="center"/>
    </xf>
    <xf numFmtId="165" fontId="2" fillId="4" borderId="2" xfId="0" quotePrefix="1" applyFont="1" applyFill="1" applyBorder="1" applyAlignment="1" applyProtection="1">
      <alignment horizontal="center"/>
    </xf>
    <xf numFmtId="165" fontId="31" fillId="0" borderId="0" xfId="0" applyFont="1" applyAlignment="1" applyProtection="1">
      <alignment horizontal="right" vertical="center"/>
    </xf>
    <xf numFmtId="169" fontId="2" fillId="4" borderId="1" xfId="0" applyNumberFormat="1" applyFont="1" applyFill="1" applyBorder="1" applyProtection="1"/>
    <xf numFmtId="169" fontId="2" fillId="4" borderId="0" xfId="0" applyNumberFormat="1" applyFont="1" applyFill="1" applyBorder="1" applyProtection="1"/>
    <xf numFmtId="166" fontId="1" fillId="4" borderId="0" xfId="0" applyNumberFormat="1" applyFont="1" applyFill="1" applyProtection="1"/>
    <xf numFmtId="166" fontId="2" fillId="4" borderId="1" xfId="0" applyNumberFormat="1" applyFont="1" applyFill="1" applyBorder="1" applyProtection="1"/>
    <xf numFmtId="166" fontId="2" fillId="4" borderId="0" xfId="0" applyNumberFormat="1" applyFont="1" applyFill="1" applyBorder="1" applyProtection="1"/>
    <xf numFmtId="169" fontId="1" fillId="4" borderId="1" xfId="0" applyNumberFormat="1" applyFont="1" applyFill="1" applyBorder="1" applyAlignment="1" applyProtection="1">
      <alignment horizontal="right" vertical="center"/>
    </xf>
    <xf numFmtId="169" fontId="1" fillId="4" borderId="0" xfId="0" applyNumberFormat="1" applyFont="1" applyFill="1" applyBorder="1" applyAlignment="1" applyProtection="1">
      <alignment horizontal="right" vertical="center"/>
    </xf>
    <xf numFmtId="169" fontId="1" fillId="4" borderId="2" xfId="0" applyNumberFormat="1" applyFont="1" applyFill="1" applyBorder="1" applyAlignment="1" applyProtection="1">
      <alignment horizontal="right" vertical="center"/>
    </xf>
    <xf numFmtId="2" fontId="2" fillId="4" borderId="0" xfId="1" applyNumberFormat="1" applyFont="1" applyFill="1" applyProtection="1"/>
    <xf numFmtId="165" fontId="1" fillId="0" borderId="0" xfId="0" applyFont="1" applyAlignment="1" applyProtection="1">
      <alignment horizontal="right"/>
    </xf>
    <xf numFmtId="165" fontId="9" fillId="0" borderId="0" xfId="0" applyFont="1" applyAlignment="1">
      <alignment wrapText="1"/>
    </xf>
    <xf numFmtId="165" fontId="8" fillId="0" borderId="0" xfId="0" applyFont="1"/>
    <xf numFmtId="14" fontId="9" fillId="0" borderId="0" xfId="0" applyNumberFormat="1" applyFont="1"/>
    <xf numFmtId="14" fontId="2" fillId="0" borderId="0" xfId="0" applyNumberFormat="1" applyFont="1" applyProtection="1"/>
    <xf numFmtId="165" fontId="0" fillId="0" borderId="0" xfId="0" applyProtection="1"/>
    <xf numFmtId="165" fontId="16" fillId="4" borderId="1" xfId="0" applyFont="1" applyFill="1" applyBorder="1" applyProtection="1"/>
    <xf numFmtId="165" fontId="0" fillId="4" borderId="2" xfId="0" applyFill="1" applyBorder="1" applyProtection="1"/>
    <xf numFmtId="166" fontId="2" fillId="4" borderId="0" xfId="3" applyFont="1" applyFill="1" applyProtection="1"/>
    <xf numFmtId="166" fontId="2" fillId="4" borderId="2" xfId="3" applyFont="1" applyFill="1" applyBorder="1" applyProtection="1"/>
    <xf numFmtId="165" fontId="0" fillId="0" borderId="0" xfId="0" applyFill="1" applyProtection="1"/>
    <xf numFmtId="165" fontId="9" fillId="0" borderId="0" xfId="0" applyFont="1" applyFill="1" applyProtection="1"/>
    <xf numFmtId="165" fontId="9" fillId="0" borderId="0" xfId="0" applyFont="1" applyProtection="1"/>
    <xf numFmtId="0" fontId="1" fillId="0" borderId="0" xfId="0" applyNumberFormat="1" applyFont="1" applyAlignment="1" applyProtection="1">
      <alignment horizontal="right"/>
    </xf>
    <xf numFmtId="165" fontId="15" fillId="0" borderId="0" xfId="0" applyFont="1" applyAlignment="1" applyProtection="1">
      <alignment horizontal="right"/>
    </xf>
    <xf numFmtId="165" fontId="10" fillId="0" borderId="0" xfId="0" applyFont="1" applyProtection="1"/>
    <xf numFmtId="164" fontId="2" fillId="0" borderId="0" xfId="1" applyFont="1" applyFill="1" applyProtection="1"/>
    <xf numFmtId="165" fontId="14" fillId="4" borderId="2" xfId="0" applyFont="1" applyFill="1" applyBorder="1" applyProtection="1"/>
    <xf numFmtId="165" fontId="5" fillId="0" borderId="0" xfId="0" applyFont="1" applyProtection="1"/>
    <xf numFmtId="165" fontId="6" fillId="0" borderId="0" xfId="0" applyFont="1" applyProtection="1"/>
    <xf numFmtId="14" fontId="2" fillId="0" borderId="0" xfId="0" applyNumberFormat="1" applyFont="1" applyFill="1" applyProtection="1"/>
    <xf numFmtId="165" fontId="1" fillId="0" borderId="0" xfId="0" applyFont="1" applyProtection="1"/>
    <xf numFmtId="165" fontId="22" fillId="0" borderId="0" xfId="0" applyFont="1" applyProtection="1"/>
    <xf numFmtId="165" fontId="16" fillId="4" borderId="0" xfId="0" applyFont="1" applyFill="1" applyBorder="1" applyProtection="1"/>
    <xf numFmtId="164" fontId="22" fillId="0" borderId="0" xfId="1" applyFont="1" applyProtection="1"/>
    <xf numFmtId="171" fontId="33" fillId="0" borderId="0" xfId="9" applyNumberFormat="1" applyFont="1" applyBorder="1" applyProtection="1"/>
    <xf numFmtId="165" fontId="5" fillId="0" borderId="0" xfId="0" applyFont="1" applyFill="1" applyProtection="1"/>
    <xf numFmtId="14" fontId="9" fillId="0" borderId="0" xfId="0" applyNumberFormat="1" applyFont="1" applyAlignment="1">
      <alignment wrapText="1"/>
    </xf>
    <xf numFmtId="165" fontId="9" fillId="0" borderId="0" xfId="0" applyFont="1" applyBorder="1"/>
    <xf numFmtId="172" fontId="0" fillId="0" borderId="0" xfId="0" applyNumberFormat="1" applyBorder="1"/>
    <xf numFmtId="165" fontId="15" fillId="0" borderId="0" xfId="0" applyFont="1" applyBorder="1"/>
    <xf numFmtId="165" fontId="20" fillId="4" borderId="2" xfId="0" applyFont="1" applyFill="1" applyBorder="1" applyAlignment="1" applyProtection="1">
      <alignment horizontal="center"/>
    </xf>
    <xf numFmtId="165" fontId="9" fillId="0" borderId="0" xfId="0" applyFont="1" applyProtection="1">
      <protection hidden="1"/>
    </xf>
    <xf numFmtId="172" fontId="0" fillId="0" borderId="0" xfId="0" applyNumberFormat="1" applyBorder="1" applyProtection="1">
      <protection hidden="1"/>
    </xf>
    <xf numFmtId="0" fontId="8" fillId="0" borderId="0" xfId="5" applyFont="1" applyFill="1" applyAlignment="1">
      <alignment horizontal="center"/>
    </xf>
    <xf numFmtId="0" fontId="9" fillId="0" borderId="0" xfId="5" applyFont="1" applyFill="1" applyAlignment="1">
      <alignment horizontal="left"/>
    </xf>
    <xf numFmtId="0" fontId="34" fillId="0" borderId="0" xfId="6" applyFont="1" applyFill="1" applyAlignment="1" applyProtection="1">
      <alignment horizontal="left"/>
    </xf>
    <xf numFmtId="165" fontId="37" fillId="0" borderId="0" xfId="0" applyFont="1"/>
    <xf numFmtId="165" fontId="38" fillId="0" borderId="0" xfId="0" applyFont="1"/>
    <xf numFmtId="165" fontId="9" fillId="0" borderId="0" xfId="0" applyFont="1" applyBorder="1" applyProtection="1">
      <protection hidden="1"/>
    </xf>
    <xf numFmtId="165" fontId="9" fillId="0" borderId="5" xfId="0" applyFont="1" applyFill="1" applyBorder="1"/>
    <xf numFmtId="165" fontId="9" fillId="0" borderId="7" xfId="0" applyFont="1" applyFill="1" applyBorder="1"/>
    <xf numFmtId="165" fontId="9" fillId="0" borderId="9" xfId="0" applyFont="1" applyFill="1" applyBorder="1" applyAlignment="1">
      <alignment wrapText="1"/>
    </xf>
    <xf numFmtId="0" fontId="8" fillId="5" borderId="11" xfId="5" applyFont="1" applyFill="1" applyBorder="1" applyAlignment="1">
      <alignment horizontal="center"/>
    </xf>
    <xf numFmtId="172" fontId="9" fillId="0" borderId="0" xfId="0" applyNumberFormat="1" applyFont="1" applyBorder="1"/>
    <xf numFmtId="165" fontId="9" fillId="0" borderId="0" xfId="0" applyFont="1" applyAlignment="1">
      <alignment vertical="top"/>
    </xf>
    <xf numFmtId="165" fontId="9" fillId="0" borderId="0" xfId="0" applyFont="1" applyAlignment="1">
      <alignment vertical="top" wrapText="1"/>
    </xf>
    <xf numFmtId="165" fontId="35" fillId="0" borderId="0" xfId="0" applyFont="1" applyAlignment="1">
      <alignment vertical="top"/>
    </xf>
    <xf numFmtId="165" fontId="8" fillId="0" borderId="0" xfId="10" applyFont="1"/>
    <xf numFmtId="165" fontId="13" fillId="0" borderId="0" xfId="10"/>
    <xf numFmtId="165" fontId="8" fillId="0" borderId="0" xfId="10" applyFont="1" applyAlignment="1" applyProtection="1">
      <alignment horizontal="left"/>
    </xf>
    <xf numFmtId="165" fontId="1" fillId="0" borderId="0" xfId="10" applyFont="1"/>
    <xf numFmtId="165" fontId="15" fillId="4" borderId="12" xfId="10" applyFont="1" applyFill="1" applyBorder="1" applyAlignment="1" applyProtection="1">
      <alignment horizontal="center"/>
      <protection hidden="1"/>
    </xf>
    <xf numFmtId="165" fontId="22" fillId="0" borderId="0" xfId="10" applyFont="1" applyAlignment="1" applyProtection="1">
      <alignment horizontal="left"/>
    </xf>
    <xf numFmtId="1" fontId="1" fillId="4" borderId="0" xfId="10" applyNumberFormat="1" applyFont="1" applyFill="1" applyBorder="1" applyAlignment="1" applyProtection="1">
      <alignment horizontal="center"/>
      <protection hidden="1"/>
    </xf>
    <xf numFmtId="166" fontId="1" fillId="4" borderId="0" xfId="10" applyNumberFormat="1" applyFont="1" applyFill="1" applyBorder="1" applyProtection="1">
      <protection hidden="1"/>
    </xf>
    <xf numFmtId="165" fontId="18" fillId="4" borderId="12" xfId="10" applyFont="1" applyFill="1" applyBorder="1" applyAlignment="1" applyProtection="1">
      <alignment horizontal="center"/>
    </xf>
    <xf numFmtId="165" fontId="16" fillId="4" borderId="12" xfId="10" applyFont="1" applyFill="1" applyBorder="1" applyAlignment="1" applyProtection="1">
      <alignment horizontal="center"/>
    </xf>
    <xf numFmtId="165" fontId="1" fillId="4" borderId="0" xfId="10" applyFont="1" applyFill="1" applyAlignment="1" applyProtection="1">
      <alignment horizontal="center"/>
    </xf>
    <xf numFmtId="166" fontId="1" fillId="4" borderId="0" xfId="10" applyNumberFormat="1" applyFont="1" applyFill="1" applyProtection="1"/>
    <xf numFmtId="165" fontId="1" fillId="4" borderId="2" xfId="10" applyFont="1" applyFill="1" applyBorder="1" applyAlignment="1" applyProtection="1">
      <alignment horizontal="center"/>
    </xf>
    <xf numFmtId="166" fontId="1" fillId="4" borderId="2" xfId="10" applyNumberFormat="1" applyFont="1" applyFill="1" applyBorder="1" applyProtection="1"/>
    <xf numFmtId="165" fontId="9" fillId="0" borderId="0" xfId="10" applyFont="1"/>
    <xf numFmtId="1" fontId="1" fillId="4" borderId="2" xfId="10" applyNumberFormat="1" applyFont="1" applyFill="1" applyBorder="1" applyAlignment="1" applyProtection="1">
      <alignment horizontal="center"/>
      <protection hidden="1"/>
    </xf>
    <xf numFmtId="166" fontId="1" fillId="4" borderId="2" xfId="10" applyNumberFormat="1" applyFont="1" applyFill="1" applyBorder="1" applyProtection="1">
      <protection hidden="1"/>
    </xf>
    <xf numFmtId="0" fontId="1" fillId="0" borderId="0" xfId="10" applyNumberFormat="1" applyFont="1" applyAlignment="1">
      <alignment horizontal="right"/>
    </xf>
    <xf numFmtId="165" fontId="16" fillId="4" borderId="1" xfId="10" applyFont="1" applyFill="1" applyBorder="1"/>
    <xf numFmtId="165" fontId="16" fillId="4" borderId="1" xfId="10" applyFont="1" applyFill="1" applyBorder="1" applyAlignment="1">
      <alignment horizontal="center"/>
    </xf>
    <xf numFmtId="165" fontId="16" fillId="4" borderId="0" xfId="10" applyFont="1" applyFill="1" applyBorder="1" applyAlignment="1" applyProtection="1">
      <alignment horizontal="center"/>
    </xf>
    <xf numFmtId="165" fontId="16" fillId="4" borderId="0" xfId="10" applyFont="1" applyFill="1" applyBorder="1" applyAlignment="1">
      <alignment horizontal="center"/>
    </xf>
    <xf numFmtId="165" fontId="14" fillId="4" borderId="2" xfId="10" applyFont="1" applyFill="1" applyBorder="1"/>
    <xf numFmtId="168" fontId="1" fillId="4" borderId="0" xfId="10" applyNumberFormat="1" applyFont="1" applyFill="1" applyAlignment="1" applyProtection="1">
      <alignment horizontal="center"/>
    </xf>
    <xf numFmtId="166" fontId="1" fillId="4" borderId="1" xfId="10" applyNumberFormat="1" applyFont="1" applyFill="1" applyBorder="1" applyProtection="1"/>
    <xf numFmtId="166" fontId="1" fillId="4" borderId="0" xfId="10" applyNumberFormat="1" applyFont="1" applyFill="1" applyBorder="1" applyProtection="1"/>
    <xf numFmtId="165" fontId="1" fillId="6" borderId="0" xfId="10" applyFont="1" applyFill="1" applyAlignment="1" applyProtection="1">
      <alignment horizontal="center"/>
    </xf>
    <xf numFmtId="166" fontId="1" fillId="6" borderId="0" xfId="11" applyNumberFormat="1" applyFont="1" applyFill="1" applyProtection="1"/>
    <xf numFmtId="166" fontId="1" fillId="4" borderId="0" xfId="11" applyNumberFormat="1" applyFont="1" applyFill="1" applyProtection="1"/>
    <xf numFmtId="166" fontId="1" fillId="4" borderId="2" xfId="11" applyNumberFormat="1" applyFont="1" applyFill="1" applyBorder="1" applyProtection="1"/>
    <xf numFmtId="168" fontId="1" fillId="4" borderId="2" xfId="10" applyNumberFormat="1" applyFont="1" applyFill="1" applyBorder="1" applyAlignment="1" applyProtection="1">
      <alignment horizontal="center"/>
    </xf>
    <xf numFmtId="167" fontId="2" fillId="4" borderId="1" xfId="0" applyNumberFormat="1" applyFont="1" applyFill="1" applyBorder="1" applyProtection="1"/>
    <xf numFmtId="167" fontId="2" fillId="4" borderId="0" xfId="0" applyNumberFormat="1" applyFont="1" applyFill="1" applyBorder="1" applyProtection="1"/>
    <xf numFmtId="165" fontId="20" fillId="4" borderId="0" xfId="0" applyFont="1" applyFill="1" applyBorder="1" applyAlignment="1" applyProtection="1">
      <alignment horizontal="center"/>
    </xf>
    <xf numFmtId="167" fontId="2" fillId="4" borderId="0" xfId="3" applyNumberFormat="1" applyFont="1" applyFill="1" applyProtection="1"/>
    <xf numFmtId="169" fontId="1" fillId="4" borderId="0" xfId="0" applyNumberFormat="1" applyFont="1" applyFill="1" applyProtection="1"/>
    <xf numFmtId="165" fontId="0" fillId="4" borderId="1" xfId="0" applyFill="1" applyBorder="1"/>
    <xf numFmtId="1" fontId="1" fillId="4" borderId="0" xfId="0" applyNumberFormat="1" applyFont="1" applyFill="1"/>
    <xf numFmtId="173" fontId="1" fillId="4" borderId="0" xfId="0" applyNumberFormat="1" applyFont="1" applyFill="1" applyAlignment="1" applyProtection="1">
      <alignment horizontal="left"/>
    </xf>
    <xf numFmtId="166" fontId="1" fillId="4" borderId="0" xfId="3" applyFont="1" applyFill="1" applyProtection="1">
      <protection locked="0"/>
    </xf>
    <xf numFmtId="3" fontId="1" fillId="4" borderId="2" xfId="0" applyNumberFormat="1" applyFont="1" applyFill="1" applyBorder="1" applyAlignment="1" applyProtection="1">
      <alignment horizontal="right"/>
      <protection locked="0"/>
    </xf>
    <xf numFmtId="167" fontId="1" fillId="4" borderId="2" xfId="3" applyNumberFormat="1" applyFont="1" applyFill="1" applyBorder="1" applyProtection="1">
      <protection locked="0"/>
    </xf>
    <xf numFmtId="165" fontId="8" fillId="0" borderId="0" xfId="0" applyFont="1" applyProtection="1"/>
    <xf numFmtId="165" fontId="8" fillId="0" borderId="0" xfId="0" applyFont="1" applyAlignment="1" applyProtection="1">
      <alignment horizontal="right"/>
    </xf>
    <xf numFmtId="165" fontId="17" fillId="4" borderId="0" xfId="0" applyFont="1" applyFill="1" applyBorder="1" applyAlignment="1" applyProtection="1">
      <alignment horizontal="center"/>
    </xf>
    <xf numFmtId="166" fontId="16" fillId="4" borderId="0" xfId="0" applyNumberFormat="1" applyFont="1" applyFill="1" applyBorder="1" applyProtection="1"/>
    <xf numFmtId="165" fontId="9" fillId="4" borderId="1" xfId="0" applyFont="1" applyFill="1" applyBorder="1" applyProtection="1"/>
    <xf numFmtId="165" fontId="2" fillId="4" borderId="1" xfId="0" applyFont="1" applyFill="1" applyBorder="1" applyProtection="1"/>
    <xf numFmtId="166" fontId="2" fillId="4" borderId="1" xfId="0" applyNumberFormat="1" applyFont="1" applyFill="1" applyBorder="1" applyAlignment="1" applyProtection="1">
      <alignment horizontal="left"/>
    </xf>
    <xf numFmtId="165" fontId="0" fillId="4" borderId="1" xfId="0" applyFill="1" applyBorder="1" applyProtection="1"/>
    <xf numFmtId="173" fontId="1" fillId="4" borderId="0" xfId="0" quotePrefix="1" applyNumberFormat="1" applyFont="1" applyFill="1" applyAlignment="1" applyProtection="1">
      <alignment horizontal="left"/>
    </xf>
    <xf numFmtId="174" fontId="1" fillId="6" borderId="0" xfId="11" applyNumberFormat="1" applyFont="1" applyFill="1" applyProtection="1"/>
    <xf numFmtId="174" fontId="1" fillId="4" borderId="0" xfId="11" applyNumberFormat="1" applyFont="1" applyFill="1" applyProtection="1"/>
    <xf numFmtId="174" fontId="1" fillId="4" borderId="2" xfId="11" applyNumberFormat="1" applyFont="1" applyFill="1" applyBorder="1" applyProtection="1"/>
    <xf numFmtId="174" fontId="1" fillId="4" borderId="0" xfId="10" applyNumberFormat="1" applyFont="1" applyFill="1" applyProtection="1"/>
    <xf numFmtId="174" fontId="1" fillId="4" borderId="2" xfId="10" applyNumberFormat="1" applyFont="1" applyFill="1" applyBorder="1" applyProtection="1"/>
    <xf numFmtId="165" fontId="2" fillId="4" borderId="0" xfId="0" applyFont="1" applyFill="1" applyBorder="1" applyProtection="1"/>
    <xf numFmtId="165" fontId="2" fillId="4" borderId="2" xfId="0" applyFont="1" applyFill="1" applyBorder="1" applyAlignment="1" applyProtection="1">
      <alignment horizontal="right"/>
    </xf>
    <xf numFmtId="165" fontId="7" fillId="4" borderId="2" xfId="0" applyFont="1" applyFill="1" applyBorder="1" applyAlignment="1" applyProtection="1">
      <alignment horizontal="center"/>
    </xf>
    <xf numFmtId="165" fontId="4" fillId="4" borderId="2" xfId="0" quotePrefix="1" applyFont="1" applyFill="1" applyBorder="1" applyAlignment="1" applyProtection="1">
      <alignment horizontal="left"/>
    </xf>
    <xf numFmtId="165" fontId="1" fillId="4" borderId="2" xfId="0" quotePrefix="1" applyFont="1" applyFill="1" applyBorder="1" applyAlignment="1" applyProtection="1">
      <alignment horizontal="left"/>
    </xf>
    <xf numFmtId="165" fontId="16" fillId="4" borderId="1" xfId="0" applyFont="1" applyFill="1" applyBorder="1" applyAlignment="1" applyProtection="1">
      <alignment horizontal="center" wrapText="1"/>
    </xf>
    <xf numFmtId="0" fontId="16" fillId="4" borderId="1" xfId="0" applyNumberFormat="1" applyFont="1" applyFill="1" applyBorder="1" applyAlignment="1">
      <alignment horizontal="center" wrapText="1"/>
    </xf>
    <xf numFmtId="0" fontId="0" fillId="0" borderId="2" xfId="0" applyNumberFormat="1" applyBorder="1" applyAlignment="1">
      <alignment horizontal="center" wrapText="1"/>
    </xf>
    <xf numFmtId="165" fontId="16" fillId="4" borderId="2" xfId="0" applyFont="1" applyFill="1" applyBorder="1" applyAlignment="1" applyProtection="1">
      <alignment horizontal="center"/>
    </xf>
    <xf numFmtId="165" fontId="19" fillId="4" borderId="0" xfId="0" applyFont="1" applyFill="1" applyBorder="1" applyAlignment="1" applyProtection="1">
      <alignment horizontal="center"/>
    </xf>
    <xf numFmtId="1" fontId="2" fillId="4" borderId="1" xfId="0" applyNumberFormat="1" applyFont="1" applyFill="1" applyBorder="1" applyProtection="1"/>
    <xf numFmtId="1" fontId="2" fillId="4" borderId="0" xfId="0" applyNumberFormat="1" applyFont="1" applyFill="1" applyBorder="1" applyProtection="1"/>
    <xf numFmtId="165" fontId="18" fillId="4" borderId="0" xfId="0" applyFont="1" applyFill="1" applyBorder="1" applyAlignment="1" applyProtection="1">
      <alignment horizontal="center"/>
    </xf>
    <xf numFmtId="1" fontId="2" fillId="4" borderId="2" xfId="0" applyNumberFormat="1" applyFont="1" applyFill="1" applyBorder="1" applyProtection="1"/>
    <xf numFmtId="165" fontId="29" fillId="0" borderId="0" xfId="0" applyFont="1" applyAlignment="1" applyProtection="1">
      <alignment horizontal="left"/>
    </xf>
    <xf numFmtId="165" fontId="29" fillId="0" borderId="0" xfId="0" applyFont="1" applyProtection="1"/>
    <xf numFmtId="165" fontId="34" fillId="0" borderId="0" xfId="6" applyNumberFormat="1" applyFont="1" applyFill="1" applyAlignment="1" applyProtection="1">
      <protection locked="0"/>
    </xf>
    <xf numFmtId="167" fontId="2" fillId="0" borderId="0" xfId="0" applyNumberFormat="1" applyFont="1" applyProtection="1"/>
    <xf numFmtId="169" fontId="43" fillId="2" borderId="0" xfId="10" applyNumberFormat="1" applyFont="1" applyFill="1" applyAlignment="1" applyProtection="1">
      <alignment horizontal="right"/>
      <protection locked="0"/>
    </xf>
    <xf numFmtId="169" fontId="43" fillId="2" borderId="2" xfId="10" applyNumberFormat="1" applyFont="1" applyFill="1" applyBorder="1" applyAlignment="1" applyProtection="1">
      <alignment horizontal="right"/>
      <protection locked="0"/>
    </xf>
    <xf numFmtId="3" fontId="43" fillId="2" borderId="0" xfId="0" applyNumberFormat="1" applyFont="1" applyFill="1" applyAlignment="1" applyProtection="1">
      <alignment horizontal="right"/>
      <protection locked="0"/>
    </xf>
    <xf numFmtId="3" fontId="43" fillId="2" borderId="0" xfId="0" applyNumberFormat="1" applyFont="1" applyFill="1" applyProtection="1">
      <protection locked="0"/>
    </xf>
    <xf numFmtId="3" fontId="43" fillId="2" borderId="2" xfId="0" applyNumberFormat="1" applyFont="1" applyFill="1" applyBorder="1" applyAlignment="1" applyProtection="1">
      <alignment horizontal="right"/>
      <protection locked="0"/>
    </xf>
    <xf numFmtId="169" fontId="44" fillId="3" borderId="1" xfId="1" applyNumberFormat="1" applyFont="1" applyFill="1" applyBorder="1" applyProtection="1"/>
    <xf numFmtId="170" fontId="44" fillId="3" borderId="1" xfId="0" applyNumberFormat="1" applyFont="1" applyFill="1" applyBorder="1" applyAlignment="1" applyProtection="1">
      <alignment horizontal="right" vertical="center"/>
    </xf>
    <xf numFmtId="169" fontId="44" fillId="3" borderId="0" xfId="1" applyNumberFormat="1" applyFont="1" applyFill="1" applyBorder="1" applyProtection="1"/>
    <xf numFmtId="170" fontId="44" fillId="3" borderId="0" xfId="0" applyNumberFormat="1" applyFont="1" applyFill="1" applyBorder="1" applyAlignment="1" applyProtection="1">
      <alignment horizontal="right" vertical="center"/>
    </xf>
    <xf numFmtId="169" fontId="44" fillId="3" borderId="2" xfId="1" applyNumberFormat="1" applyFont="1" applyFill="1" applyBorder="1" applyProtection="1"/>
    <xf numFmtId="169" fontId="44" fillId="5" borderId="0" xfId="0" applyNumberFormat="1" applyFont="1" applyFill="1" applyProtection="1"/>
    <xf numFmtId="170" fontId="44" fillId="5" borderId="0" xfId="0" applyNumberFormat="1" applyFont="1" applyFill="1" applyProtection="1"/>
    <xf numFmtId="2" fontId="45" fillId="3" borderId="13" xfId="1" applyNumberFormat="1" applyFont="1" applyFill="1" applyBorder="1" applyProtection="1"/>
    <xf numFmtId="165" fontId="45" fillId="3" borderId="14" xfId="0" applyNumberFormat="1" applyFont="1" applyFill="1" applyBorder="1" applyAlignment="1" applyProtection="1">
      <alignment horizontal="right" vertical="center"/>
    </xf>
    <xf numFmtId="2" fontId="45" fillId="3" borderId="15" xfId="1" applyNumberFormat="1" applyFont="1" applyFill="1" applyBorder="1" applyProtection="1"/>
    <xf numFmtId="170" fontId="44" fillId="5" borderId="0" xfId="0" applyNumberFormat="1" applyFont="1" applyFill="1" applyBorder="1" applyProtection="1"/>
    <xf numFmtId="170" fontId="44" fillId="5" borderId="2" xfId="0" applyNumberFormat="1" applyFont="1" applyFill="1" applyBorder="1" applyProtection="1"/>
    <xf numFmtId="165" fontId="16" fillId="4" borderId="2" xfId="0" applyFont="1" applyFill="1" applyBorder="1" applyAlignment="1" applyProtection="1">
      <alignment horizontal="center"/>
    </xf>
    <xf numFmtId="0" fontId="14" fillId="0" borderId="0" xfId="13" applyFont="1"/>
    <xf numFmtId="172" fontId="49" fillId="0" borderId="0" xfId="14" applyNumberFormat="1"/>
    <xf numFmtId="166" fontId="16" fillId="4" borderId="2" xfId="10" applyNumberFormat="1" applyFont="1" applyFill="1" applyBorder="1" applyAlignment="1" applyProtection="1">
      <alignment horizontal="center"/>
    </xf>
    <xf numFmtId="165" fontId="16" fillId="4" borderId="2" xfId="0" quotePrefix="1" applyFont="1" applyFill="1" applyBorder="1" applyAlignment="1" applyProtection="1">
      <alignment horizontal="center"/>
    </xf>
    <xf numFmtId="165" fontId="41" fillId="2" borderId="6" xfId="0" applyFont="1" applyFill="1" applyBorder="1" applyAlignment="1" applyProtection="1">
      <alignment horizontal="center"/>
      <protection locked="0"/>
    </xf>
    <xf numFmtId="165" fontId="41" fillId="2" borderId="8" xfId="0" applyFont="1" applyFill="1" applyBorder="1" applyAlignment="1" applyProtection="1">
      <alignment horizontal="center"/>
      <protection locked="0"/>
    </xf>
    <xf numFmtId="165" fontId="42" fillId="2" borderId="8" xfId="0" applyFont="1" applyFill="1" applyBorder="1" applyAlignment="1" applyProtection="1">
      <alignment horizontal="center"/>
      <protection locked="0"/>
    </xf>
    <xf numFmtId="14" fontId="41" fillId="2" borderId="10" xfId="0" applyNumberFormat="1" applyFont="1" applyFill="1" applyBorder="1" applyAlignment="1" applyProtection="1">
      <alignment horizontal="center"/>
      <protection locked="0"/>
    </xf>
    <xf numFmtId="3" fontId="1" fillId="4" borderId="1" xfId="0" applyNumberFormat="1" applyFont="1" applyFill="1" applyBorder="1" applyAlignment="1" applyProtection="1">
      <alignment horizontal="right"/>
      <protection locked="0"/>
    </xf>
    <xf numFmtId="3" fontId="1" fillId="4" borderId="0" xfId="0" applyNumberFormat="1" applyFont="1" applyFill="1" applyBorder="1" applyAlignment="1" applyProtection="1">
      <alignment horizontal="right"/>
      <protection locked="0"/>
    </xf>
    <xf numFmtId="166" fontId="16" fillId="4" borderId="0" xfId="10" applyNumberFormat="1" applyFont="1" applyFill="1" applyBorder="1" applyAlignment="1" applyProtection="1">
      <alignment horizontal="center"/>
    </xf>
    <xf numFmtId="3" fontId="1" fillId="4" borderId="1" xfId="0" applyNumberFormat="1" applyFont="1" applyFill="1" applyBorder="1" applyProtection="1">
      <protection locked="0"/>
    </xf>
    <xf numFmtId="3" fontId="1" fillId="4" borderId="0" xfId="0" applyNumberFormat="1" applyFont="1" applyFill="1" applyBorder="1" applyProtection="1">
      <protection locked="0"/>
    </xf>
    <xf numFmtId="3" fontId="1" fillId="4" borderId="2" xfId="0" applyNumberFormat="1" applyFont="1" applyFill="1" applyBorder="1" applyProtection="1">
      <protection locked="0"/>
    </xf>
    <xf numFmtId="165" fontId="8" fillId="0" borderId="3" xfId="0" applyFont="1" applyBorder="1" applyAlignment="1">
      <alignment horizontal="center"/>
    </xf>
    <xf numFmtId="165" fontId="8" fillId="0" borderId="4" xfId="0" applyFont="1" applyBorder="1" applyAlignment="1">
      <alignment horizontal="center"/>
    </xf>
    <xf numFmtId="165" fontId="16" fillId="4" borderId="1" xfId="0" applyFont="1" applyFill="1" applyBorder="1" applyAlignment="1" applyProtection="1">
      <alignment horizontal="center" wrapText="1"/>
    </xf>
    <xf numFmtId="165" fontId="0" fillId="0" borderId="0" xfId="0" applyAlignment="1">
      <alignment wrapText="1"/>
    </xf>
    <xf numFmtId="165" fontId="0" fillId="0" borderId="2" xfId="0" applyBorder="1" applyAlignment="1">
      <alignment wrapText="1"/>
    </xf>
    <xf numFmtId="166" fontId="43" fillId="2" borderId="2" xfId="0" applyNumberFormat="1" applyFont="1" applyFill="1" applyBorder="1" applyAlignment="1" applyProtection="1">
      <alignment horizontal="left"/>
    </xf>
    <xf numFmtId="165" fontId="47" fillId="0" borderId="2" xfId="0" applyFont="1" applyBorder="1" applyAlignment="1"/>
    <xf numFmtId="165" fontId="1" fillId="2" borderId="0" xfId="0" applyFont="1" applyFill="1" applyAlignment="1" applyProtection="1">
      <alignment horizontal="left"/>
    </xf>
    <xf numFmtId="0" fontId="16" fillId="4" borderId="1" xfId="0" applyNumberFormat="1" applyFont="1" applyFill="1" applyBorder="1" applyAlignment="1">
      <alignment horizontal="center" wrapText="1"/>
    </xf>
    <xf numFmtId="0" fontId="0" fillId="0" borderId="2" xfId="0" applyNumberFormat="1" applyBorder="1" applyAlignment="1">
      <alignment horizontal="center" wrapText="1"/>
    </xf>
    <xf numFmtId="165" fontId="16" fillId="4" borderId="2" xfId="0" applyFont="1" applyFill="1" applyBorder="1" applyAlignment="1" applyProtection="1">
      <alignment horizontal="center"/>
    </xf>
    <xf numFmtId="165" fontId="1" fillId="4" borderId="2" xfId="0" applyFont="1" applyFill="1" applyBorder="1" applyAlignment="1" applyProtection="1">
      <alignment horizontal="center"/>
    </xf>
    <xf numFmtId="165" fontId="16" fillId="4" borderId="1" xfId="0" applyFont="1" applyFill="1" applyBorder="1" applyAlignment="1">
      <alignment horizontal="center" wrapText="1"/>
    </xf>
    <xf numFmtId="165" fontId="0" fillId="0" borderId="2" xfId="0" applyBorder="1" applyAlignment="1">
      <alignment horizontal="center" wrapText="1"/>
    </xf>
  </cellXfs>
  <cellStyles count="15">
    <cellStyle name="Comma" xfId="1" builtinId="3"/>
    <cellStyle name="Comma 3" xfId="9"/>
    <cellStyle name="Hyperlink" xfId="6" builtinId="8"/>
    <cellStyle name="Normal" xfId="0" builtinId="0"/>
    <cellStyle name="Normal 10" xfId="13"/>
    <cellStyle name="Normal 11" xfId="14"/>
    <cellStyle name="Normal 2" xfId="2"/>
    <cellStyle name="Normal 2 2" xfId="4"/>
    <cellStyle name="Normal 2 3" xfId="7"/>
    <cellStyle name="Normal 2 4" xfId="11"/>
    <cellStyle name="Normal 3" xfId="10"/>
    <cellStyle name="Normal 3 2" xfId="5"/>
    <cellStyle name="Normal 3 2 2" xfId="12"/>
    <cellStyle name="Normal 3 3" xfId="8"/>
    <cellStyle name="Normal 4"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6EFCE"/>
      <color rgb="FF006600"/>
      <color rgb="FFC037C0"/>
      <color rgb="FFFFEB9C"/>
      <color rgb="FF0070C0"/>
      <color rgb="FFD7E6E6"/>
      <color rgb="FFE6E6CF"/>
      <color rgb="FFFFE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01400180668478E-2"/>
          <c:y val="5.1219078857455254E-2"/>
          <c:w val="0.89174488790342465"/>
          <c:h val="0.75401786934536008"/>
        </c:manualLayout>
      </c:layout>
      <c:scatterChart>
        <c:scatterStyle val="lineMarker"/>
        <c:varyColors val="0"/>
        <c:ser>
          <c:idx val="2"/>
          <c:order val="0"/>
          <c:tx>
            <c:strRef>
              <c:f>'Paternal orphanhood'!$A$2</c:f>
              <c:strCache>
                <c:ptCount val="1"/>
                <c:pt idx="0">
                  <c:v>Men - Male respondents</c:v>
                </c:pt>
              </c:strCache>
            </c:strRef>
          </c:tx>
          <c:spPr>
            <a:ln>
              <a:solidFill>
                <a:srgbClr val="0070C0"/>
              </a:solidFill>
              <a:prstDash val="solid"/>
            </a:ln>
          </c:spPr>
          <c:marker>
            <c:symbol val="none"/>
          </c:marker>
          <c:xVal>
            <c:numRef>
              <c:f>'Paternal orphanhood'!$K$6:$K$13</c:f>
              <c:numCache>
                <c:formatCode>0.0_)</c:formatCode>
                <c:ptCount val="8"/>
                <c:pt idx="0">
                  <c:v>1992.747304980626</c:v>
                </c:pt>
                <c:pt idx="1">
                  <c:v>1990.6057512452012</c:v>
                </c:pt>
                <c:pt idx="2">
                  <c:v>1988.6764277610839</c:v>
                </c:pt>
                <c:pt idx="3">
                  <c:v>1986.9639998652531</c:v>
                </c:pt>
                <c:pt idx="4">
                  <c:v>1985.4433500410798</c:v>
                </c:pt>
                <c:pt idx="5">
                  <c:v>1984.4940039270298</c:v>
                </c:pt>
                <c:pt idx="6">
                  <c:v>#N/A</c:v>
                </c:pt>
              </c:numCache>
            </c:numRef>
          </c:xVal>
          <c:yVal>
            <c:numRef>
              <c:f>'Paternal orphanhood'!$J$6:$J$13</c:f>
              <c:numCache>
                <c:formatCode>0.000_)</c:formatCode>
                <c:ptCount val="8"/>
                <c:pt idx="0">
                  <c:v>0.17590264348206053</c:v>
                </c:pt>
                <c:pt idx="1">
                  <c:v>0.24874959052107326</c:v>
                </c:pt>
                <c:pt idx="2">
                  <c:v>0.25979625059734857</c:v>
                </c:pt>
                <c:pt idx="3">
                  <c:v>0.2527348212933388</c:v>
                </c:pt>
                <c:pt idx="4">
                  <c:v>0.26090936183930125</c:v>
                </c:pt>
                <c:pt idx="5">
                  <c:v>0.2503191429451177</c:v>
                </c:pt>
                <c:pt idx="6">
                  <c:v>0.26296371897705051</c:v>
                </c:pt>
              </c:numCache>
            </c:numRef>
          </c:yVal>
          <c:smooth val="0"/>
        </c:ser>
        <c:ser>
          <c:idx val="1"/>
          <c:order val="1"/>
          <c:tx>
            <c:strRef>
              <c:f>'Maternal orphanhood'!$A$2</c:f>
              <c:strCache>
                <c:ptCount val="1"/>
                <c:pt idx="0">
                  <c:v>Women - Male respondents</c:v>
                </c:pt>
              </c:strCache>
            </c:strRef>
          </c:tx>
          <c:spPr>
            <a:ln>
              <a:solidFill>
                <a:srgbClr val="C037C0"/>
              </a:solidFill>
            </a:ln>
          </c:spPr>
          <c:marker>
            <c:symbol val="none"/>
          </c:marker>
          <c:xVal>
            <c:numRef>
              <c:f>'Maternal orphanhood'!$K$6:$K$14</c:f>
              <c:numCache>
                <c:formatCode>0.0_)</c:formatCode>
                <c:ptCount val="9"/>
                <c:pt idx="0">
                  <c:v>1994.2245265326853</c:v>
                </c:pt>
                <c:pt idx="1">
                  <c:v>1992.0772783819007</c:v>
                </c:pt>
                <c:pt idx="2">
                  <c:v>1990.1444276420502</c:v>
                </c:pt>
                <c:pt idx="3">
                  <c:v>1988.4543939039745</c:v>
                </c:pt>
                <c:pt idx="4">
                  <c:v>1987.0361667827924</c:v>
                </c:pt>
                <c:pt idx="5">
                  <c:v>1985.9398813500488</c:v>
                </c:pt>
                <c:pt idx="6">
                  <c:v>1985.4578121954469</c:v>
                </c:pt>
                <c:pt idx="7">
                  <c:v>#N/A</c:v>
                </c:pt>
                <c:pt idx="8">
                  <c:v>#N/A</c:v>
                </c:pt>
              </c:numCache>
            </c:numRef>
          </c:xVal>
          <c:yVal>
            <c:numRef>
              <c:f>'Maternal orphanhood'!$J$6:$J$14</c:f>
              <c:numCache>
                <c:formatCode>0.000_)</c:formatCode>
                <c:ptCount val="9"/>
                <c:pt idx="0">
                  <c:v>7.0363046090536119E-2</c:v>
                </c:pt>
                <c:pt idx="1">
                  <c:v>8.1536400561450617E-2</c:v>
                </c:pt>
                <c:pt idx="2">
                  <c:v>8.9728854315122564E-2</c:v>
                </c:pt>
                <c:pt idx="3">
                  <c:v>0.10059916619492326</c:v>
                </c:pt>
                <c:pt idx="4">
                  <c:v>0.11294958672362621</c:v>
                </c:pt>
                <c:pt idx="5">
                  <c:v>0.1248581324417859</c:v>
                </c:pt>
                <c:pt idx="6">
                  <c:v>0.11882828810699086</c:v>
                </c:pt>
                <c:pt idx="7">
                  <c:v>0.13568093909924006</c:v>
                </c:pt>
                <c:pt idx="8">
                  <c:v>0.14410787121702673</c:v>
                </c:pt>
              </c:numCache>
            </c:numRef>
          </c:yVal>
          <c:smooth val="0"/>
        </c:ser>
        <c:ser>
          <c:idx val="0"/>
          <c:order val="2"/>
          <c:tx>
            <c:strRef>
              <c:f>'Paternal orphanhood'!$A$14</c:f>
              <c:strCache>
                <c:ptCount val="1"/>
                <c:pt idx="0">
                  <c:v>Men - Female respondents</c:v>
                </c:pt>
              </c:strCache>
            </c:strRef>
          </c:tx>
          <c:spPr>
            <a:ln>
              <a:prstDash val="sysDash"/>
            </a:ln>
          </c:spPr>
          <c:marker>
            <c:symbol val="none"/>
          </c:marker>
          <c:xVal>
            <c:numRef>
              <c:f>'Paternal orphanhood'!$K$18:$K$25</c:f>
              <c:numCache>
                <c:formatCode>0.0_)</c:formatCode>
                <c:ptCount val="8"/>
                <c:pt idx="0">
                  <c:v>1992.7478712144125</c:v>
                </c:pt>
                <c:pt idx="1">
                  <c:v>1990.6148890558795</c:v>
                </c:pt>
                <c:pt idx="2">
                  <c:v>1988.7123578664639</c:v>
                </c:pt>
                <c:pt idx="3">
                  <c:v>1987.0455512791127</c:v>
                </c:pt>
                <c:pt idx="4">
                  <c:v>1985.6106352515139</c:v>
                </c:pt>
                <c:pt idx="5">
                  <c:v>1984.6645704917962</c:v>
                </c:pt>
                <c:pt idx="6">
                  <c:v>#N/A</c:v>
                </c:pt>
              </c:numCache>
            </c:numRef>
          </c:xVal>
          <c:yVal>
            <c:numRef>
              <c:f>'Paternal orphanhood'!$J$18:$J$25</c:f>
              <c:numCache>
                <c:formatCode>0.000_)</c:formatCode>
                <c:ptCount val="8"/>
                <c:pt idx="0">
                  <c:v>0.17451882403717056</c:v>
                </c:pt>
                <c:pt idx="1">
                  <c:v>0.2523075449177602</c:v>
                </c:pt>
                <c:pt idx="2">
                  <c:v>0.24894515812649665</c:v>
                </c:pt>
                <c:pt idx="3">
                  <c:v>0.23611240337810935</c:v>
                </c:pt>
                <c:pt idx="4">
                  <c:v>0.23917016643382683</c:v>
                </c:pt>
                <c:pt idx="5">
                  <c:v>0.23886523847506169</c:v>
                </c:pt>
                <c:pt idx="6">
                  <c:v>0.25111920575396451</c:v>
                </c:pt>
              </c:numCache>
            </c:numRef>
          </c:yVal>
          <c:smooth val="0"/>
        </c:ser>
        <c:ser>
          <c:idx val="3"/>
          <c:order val="3"/>
          <c:tx>
            <c:strRef>
              <c:f>'Maternal orphanhood'!$A$15</c:f>
              <c:strCache>
                <c:ptCount val="1"/>
                <c:pt idx="0">
                  <c:v>Women - Female respondents</c:v>
                </c:pt>
              </c:strCache>
            </c:strRef>
          </c:tx>
          <c:spPr>
            <a:ln>
              <a:prstDash val="sysDash"/>
            </a:ln>
          </c:spPr>
          <c:marker>
            <c:symbol val="none"/>
          </c:marker>
          <c:xVal>
            <c:numRef>
              <c:f>'Maternal orphanhood'!$K$19:$K$27</c:f>
              <c:numCache>
                <c:formatCode>0.0_)</c:formatCode>
                <c:ptCount val="9"/>
                <c:pt idx="0">
                  <c:v>1994.2241500931252</c:v>
                </c:pt>
                <c:pt idx="1">
                  <c:v>1992.0754634513714</c:v>
                </c:pt>
                <c:pt idx="2">
                  <c:v>1990.1429849956785</c:v>
                </c:pt>
                <c:pt idx="3">
                  <c:v>1988.4529264563776</c:v>
                </c:pt>
                <c:pt idx="4">
                  <c:v>1987.0402374815133</c:v>
                </c:pt>
                <c:pt idx="5">
                  <c:v>1985.952338967114</c:v>
                </c:pt>
                <c:pt idx="6">
                  <c:v>1985.3882687960192</c:v>
                </c:pt>
                <c:pt idx="7">
                  <c:v>#N/A</c:v>
                </c:pt>
                <c:pt idx="8">
                  <c:v>#N/A</c:v>
                </c:pt>
              </c:numCache>
            </c:numRef>
          </c:xVal>
          <c:yVal>
            <c:numRef>
              <c:f>'Maternal orphanhood'!$J$19:$J$27</c:f>
              <c:numCache>
                <c:formatCode>0.000_)</c:formatCode>
                <c:ptCount val="9"/>
                <c:pt idx="0">
                  <c:v>7.3252013805763072E-2</c:v>
                </c:pt>
                <c:pt idx="1">
                  <c:v>8.5787907851121448E-2</c:v>
                </c:pt>
                <c:pt idx="2">
                  <c:v>9.1187132007241489E-2</c:v>
                </c:pt>
                <c:pt idx="3">
                  <c:v>0.10133758918135816</c:v>
                </c:pt>
                <c:pt idx="4">
                  <c:v>0.11185017657542173</c:v>
                </c:pt>
                <c:pt idx="5">
                  <c:v>0.12295358050706084</c:v>
                </c:pt>
                <c:pt idx="6">
                  <c:v>0.12515617019766956</c:v>
                </c:pt>
                <c:pt idx="7">
                  <c:v>0.13861571102770476</c:v>
                </c:pt>
                <c:pt idx="8">
                  <c:v>0.1433225716969152</c:v>
                </c:pt>
              </c:numCache>
            </c:numRef>
          </c:yVal>
          <c:smooth val="0"/>
        </c:ser>
        <c:dLbls>
          <c:showLegendKey val="0"/>
          <c:showVal val="0"/>
          <c:showCatName val="0"/>
          <c:showSerName val="0"/>
          <c:showPercent val="0"/>
          <c:showBubbleSize val="0"/>
        </c:dLbls>
        <c:axId val="315838112"/>
        <c:axId val="315838672"/>
      </c:scatterChart>
      <c:valAx>
        <c:axId val="315838112"/>
        <c:scaling>
          <c:orientation val="minMax"/>
        </c:scaling>
        <c:delete val="0"/>
        <c:axPos val="b"/>
        <c:title>
          <c:tx>
            <c:rich>
              <a:bodyPr/>
              <a:lstStyle/>
              <a:p>
                <a:pPr>
                  <a:defRPr/>
                </a:pPr>
                <a:r>
                  <a:rPr lang="en-GB"/>
                  <a:t>Date</a:t>
                </a:r>
              </a:p>
            </c:rich>
          </c:tx>
          <c:layout>
            <c:manualLayout>
              <c:xMode val="edge"/>
              <c:yMode val="edge"/>
              <c:x val="0.49514012071938901"/>
              <c:y val="0.86200167418341511"/>
            </c:manualLayout>
          </c:layout>
          <c:overlay val="0"/>
        </c:title>
        <c:numFmt formatCode="0" sourceLinked="0"/>
        <c:majorTickMark val="out"/>
        <c:minorTickMark val="none"/>
        <c:tickLblPos val="low"/>
        <c:spPr>
          <a:ln>
            <a:solidFill>
              <a:schemeClr val="tx1">
                <a:lumMod val="65000"/>
                <a:lumOff val="35000"/>
              </a:schemeClr>
            </a:solidFill>
          </a:ln>
        </c:spPr>
        <c:crossAx val="315838672"/>
        <c:crossesAt val="-1"/>
        <c:crossBetween val="midCat"/>
      </c:valAx>
      <c:valAx>
        <c:axId val="315838672"/>
        <c:scaling>
          <c:orientation val="minMax"/>
        </c:scaling>
        <c:delete val="0"/>
        <c:axPos val="l"/>
        <c:majorGridlines>
          <c:spPr>
            <a:ln>
              <a:solidFill>
                <a:schemeClr val="bg1">
                  <a:lumMod val="75000"/>
                </a:schemeClr>
              </a:solidFill>
            </a:ln>
          </c:spPr>
        </c:majorGridlines>
        <c:title>
          <c:tx>
            <c:strRef>
              <c:f>Introduction!$D$11</c:f>
              <c:strCache>
                <c:ptCount val="1"/>
                <c:pt idx="0">
                  <c:v>30q30</c:v>
                </c:pt>
              </c:strCache>
            </c:strRef>
          </c:tx>
          <c:layout>
            <c:manualLayout>
              <c:xMode val="edge"/>
              <c:yMode val="edge"/>
              <c:x val="9.1821672004598828E-3"/>
              <c:y val="0.39137590542572354"/>
            </c:manualLayout>
          </c:layout>
          <c:overlay val="0"/>
          <c:txPr>
            <a:bodyPr rot="-5400000" vert="horz" anchor="ctr" anchorCtr="0"/>
            <a:lstStyle/>
            <a:p>
              <a:pPr algn="l">
                <a:defRPr i="1" baseline="0"/>
              </a:pPr>
              <a:endParaRPr lang="en-US"/>
            </a:p>
          </c:txPr>
        </c:title>
        <c:numFmt formatCode="#,##0.0" sourceLinked="0"/>
        <c:majorTickMark val="out"/>
        <c:minorTickMark val="none"/>
        <c:tickLblPos val="nextTo"/>
        <c:spPr>
          <a:ln>
            <a:solidFill>
              <a:schemeClr val="tx1">
                <a:lumMod val="65000"/>
                <a:lumOff val="35000"/>
              </a:schemeClr>
            </a:solidFill>
          </a:ln>
        </c:spPr>
        <c:crossAx val="315838112"/>
        <c:crosses val="autoZero"/>
        <c:crossBetween val="midCat"/>
        <c:majorUnit val="0.1"/>
      </c:valAx>
      <c:spPr>
        <a:solidFill>
          <a:schemeClr val="bg1"/>
        </a:solidFill>
        <a:ln w="6350"/>
      </c:spPr>
    </c:plotArea>
    <c:legend>
      <c:legendPos val="b"/>
      <c:layout>
        <c:manualLayout>
          <c:xMode val="edge"/>
          <c:yMode val="edge"/>
          <c:x val="0.19971513919684744"/>
          <c:y val="0.92541273746070796"/>
          <c:w val="0.6329011661328765"/>
          <c:h val="7.4587262539292098E-2"/>
        </c:manualLayout>
      </c:layout>
      <c:overlay val="0"/>
    </c:legend>
    <c:plotVisOnly val="1"/>
    <c:dispBlanksAs val="gap"/>
    <c:showDLblsOverMax val="0"/>
  </c:chart>
  <c:spPr>
    <a:solidFill>
      <a:srgbClr val="D7E6E6"/>
    </a:solidFill>
    <a:ln>
      <a:noFill/>
    </a:ln>
  </c:spPr>
  <c:txPr>
    <a:bodyPr/>
    <a:lstStyle/>
    <a:p>
      <a:pPr>
        <a:defRPr sz="1200">
          <a:latin typeface="Verdana" pitchFamily="34" charset="0"/>
        </a:defRPr>
      </a:pPr>
      <a:endParaRPr lang="en-US"/>
    </a:p>
  </c:txPr>
  <c:printSettings>
    <c:headerFooter/>
    <c:pageMargins b="0.7480314960629979" l="0.70866141732284116" r="0.70866141732284116" t="0.7480314960629979" header="0.31496062992126517" footer="0.31496062992126517"/>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01400180668478E-2"/>
          <c:y val="5.1219078857455254E-2"/>
          <c:w val="0.89174488790342465"/>
          <c:h val="0.75401786934536008"/>
        </c:manualLayout>
      </c:layout>
      <c:scatterChart>
        <c:scatterStyle val="lineMarker"/>
        <c:varyColors val="0"/>
        <c:ser>
          <c:idx val="2"/>
          <c:order val="0"/>
          <c:tx>
            <c:strRef>
              <c:f>'Paternal orphanhood'!$A$26</c:f>
              <c:strCache>
                <c:ptCount val="1"/>
                <c:pt idx="0">
                  <c:v>Men - all respondents</c:v>
                </c:pt>
              </c:strCache>
            </c:strRef>
          </c:tx>
          <c:spPr>
            <a:ln>
              <a:solidFill>
                <a:srgbClr val="0070C0"/>
              </a:solidFill>
              <a:prstDash val="solid"/>
            </a:ln>
          </c:spPr>
          <c:marker>
            <c:symbol val="none"/>
          </c:marker>
          <c:xVal>
            <c:numRef>
              <c:f>'Paternal orphanhood'!$K$30:$K$36</c:f>
              <c:numCache>
                <c:formatCode>0.0_)</c:formatCode>
                <c:ptCount val="7"/>
                <c:pt idx="0">
                  <c:v>1992.747582820808</c:v>
                </c:pt>
                <c:pt idx="1">
                  <c:v>1990.6102681059062</c:v>
                </c:pt>
                <c:pt idx="2">
                  <c:v>1988.6943722770134</c:v>
                </c:pt>
                <c:pt idx="3">
                  <c:v>1987.0046752628398</c:v>
                </c:pt>
                <c:pt idx="4">
                  <c:v>1985.5274048919823</c:v>
                </c:pt>
                <c:pt idx="5">
                  <c:v>1984.5816105200381</c:v>
                </c:pt>
                <c:pt idx="6">
                  <c:v>#N/A</c:v>
                </c:pt>
              </c:numCache>
            </c:numRef>
          </c:xVal>
          <c:yVal>
            <c:numRef>
              <c:f>'Paternal orphanhood'!$J$30:$J$36</c:f>
              <c:numCache>
                <c:formatCode>0.000_)</c:formatCode>
                <c:ptCount val="7"/>
                <c:pt idx="0">
                  <c:v>0.17522367282385343</c:v>
                </c:pt>
                <c:pt idx="1">
                  <c:v>0.25051036843835861</c:v>
                </c:pt>
                <c:pt idx="2">
                  <c:v>0.25441695309504375</c:v>
                </c:pt>
                <c:pt idx="3">
                  <c:v>0.24450809991024303</c:v>
                </c:pt>
                <c:pt idx="4">
                  <c:v>0.24998459281769891</c:v>
                </c:pt>
                <c:pt idx="5">
                  <c:v>0.24438666400003184</c:v>
                </c:pt>
                <c:pt idx="6">
                  <c:v>0.25681680529381279</c:v>
                </c:pt>
              </c:numCache>
            </c:numRef>
          </c:yVal>
          <c:smooth val="0"/>
        </c:ser>
        <c:ser>
          <c:idx val="1"/>
          <c:order val="1"/>
          <c:tx>
            <c:strRef>
              <c:f>'Maternal orphanhood'!$A$28</c:f>
              <c:strCache>
                <c:ptCount val="1"/>
                <c:pt idx="0">
                  <c:v>Women - all respondents</c:v>
                </c:pt>
              </c:strCache>
            </c:strRef>
          </c:tx>
          <c:spPr>
            <a:ln>
              <a:solidFill>
                <a:srgbClr val="C037C0"/>
              </a:solidFill>
            </a:ln>
          </c:spPr>
          <c:marker>
            <c:symbol val="none"/>
          </c:marker>
          <c:xVal>
            <c:numRef>
              <c:f>'Maternal orphanhood'!$K$32:$K$40</c:f>
              <c:numCache>
                <c:formatCode>0.0_)</c:formatCode>
                <c:ptCount val="9"/>
                <c:pt idx="0">
                  <c:v>1994.2243417531611</c:v>
                </c:pt>
                <c:pt idx="1">
                  <c:v>1992.0763889403697</c:v>
                </c:pt>
                <c:pt idx="2">
                  <c:v>1990.143715638485</c:v>
                </c:pt>
                <c:pt idx="3">
                  <c:v>1988.4536601595896</c:v>
                </c:pt>
                <c:pt idx="4">
                  <c:v>1987.0381781118354</c:v>
                </c:pt>
                <c:pt idx="5">
                  <c:v>1985.9461196907678</c:v>
                </c:pt>
                <c:pt idx="6">
                  <c:v>1985.4208881957843</c:v>
                </c:pt>
                <c:pt idx="7">
                  <c:v>#N/A</c:v>
                </c:pt>
                <c:pt idx="8">
                  <c:v>#N/A</c:v>
                </c:pt>
              </c:numCache>
            </c:numRef>
          </c:xVal>
          <c:yVal>
            <c:numRef>
              <c:f>'Maternal orphanhood'!$J$32:$J$40</c:f>
              <c:numCache>
                <c:formatCode>0.000_)</c:formatCode>
                <c:ptCount val="9"/>
                <c:pt idx="0">
                  <c:v>7.1783334279944322E-2</c:v>
                </c:pt>
                <c:pt idx="1">
                  <c:v>8.3624572274788367E-2</c:v>
                </c:pt>
                <c:pt idx="2">
                  <c:v>9.0449091116223013E-2</c:v>
                </c:pt>
                <c:pt idx="3">
                  <c:v>0.10096851103420745</c:v>
                </c:pt>
                <c:pt idx="4">
                  <c:v>0.11240660679619552</c:v>
                </c:pt>
                <c:pt idx="5">
                  <c:v>0.12390494669590668</c:v>
                </c:pt>
                <c:pt idx="6">
                  <c:v>0.122191097591971</c:v>
                </c:pt>
                <c:pt idx="7">
                  <c:v>0.13716720223017531</c:v>
                </c:pt>
                <c:pt idx="8">
                  <c:v>0.14370331124456281</c:v>
                </c:pt>
              </c:numCache>
            </c:numRef>
          </c:yVal>
          <c:smooth val="0"/>
        </c:ser>
        <c:dLbls>
          <c:showLegendKey val="0"/>
          <c:showVal val="0"/>
          <c:showCatName val="0"/>
          <c:showSerName val="0"/>
          <c:showPercent val="0"/>
          <c:showBubbleSize val="0"/>
        </c:dLbls>
        <c:axId val="315314032"/>
        <c:axId val="315316272"/>
      </c:scatterChart>
      <c:valAx>
        <c:axId val="315314032"/>
        <c:scaling>
          <c:orientation val="minMax"/>
        </c:scaling>
        <c:delete val="0"/>
        <c:axPos val="b"/>
        <c:title>
          <c:tx>
            <c:rich>
              <a:bodyPr/>
              <a:lstStyle/>
              <a:p>
                <a:pPr>
                  <a:defRPr/>
                </a:pPr>
                <a:r>
                  <a:rPr lang="en-GB"/>
                  <a:t>Date</a:t>
                </a:r>
              </a:p>
            </c:rich>
          </c:tx>
          <c:layout>
            <c:manualLayout>
              <c:xMode val="edge"/>
              <c:yMode val="edge"/>
              <c:x val="0.49514012071938901"/>
              <c:y val="0.86200167418341556"/>
            </c:manualLayout>
          </c:layout>
          <c:overlay val="0"/>
        </c:title>
        <c:numFmt formatCode="0" sourceLinked="0"/>
        <c:majorTickMark val="out"/>
        <c:minorTickMark val="none"/>
        <c:tickLblPos val="low"/>
        <c:spPr>
          <a:ln>
            <a:solidFill>
              <a:schemeClr val="tx1">
                <a:lumMod val="65000"/>
                <a:lumOff val="35000"/>
              </a:schemeClr>
            </a:solidFill>
          </a:ln>
        </c:spPr>
        <c:crossAx val="315316272"/>
        <c:crossesAt val="-1"/>
        <c:crossBetween val="midCat"/>
      </c:valAx>
      <c:valAx>
        <c:axId val="315316272"/>
        <c:scaling>
          <c:orientation val="minMax"/>
        </c:scaling>
        <c:delete val="0"/>
        <c:axPos val="l"/>
        <c:majorGridlines>
          <c:spPr>
            <a:ln>
              <a:solidFill>
                <a:schemeClr val="bg1">
                  <a:lumMod val="75000"/>
                </a:schemeClr>
              </a:solidFill>
            </a:ln>
          </c:spPr>
        </c:majorGridlines>
        <c:title>
          <c:tx>
            <c:strRef>
              <c:f>Introduction!$D$11</c:f>
              <c:strCache>
                <c:ptCount val="1"/>
                <c:pt idx="0">
                  <c:v>30q30</c:v>
                </c:pt>
              </c:strCache>
            </c:strRef>
          </c:tx>
          <c:layout>
            <c:manualLayout>
              <c:xMode val="edge"/>
              <c:yMode val="edge"/>
              <c:x val="9.1821672004598828E-3"/>
              <c:y val="0.39137590542572376"/>
            </c:manualLayout>
          </c:layout>
          <c:overlay val="0"/>
          <c:txPr>
            <a:bodyPr rot="-5400000" vert="horz" anchor="ctr" anchorCtr="0"/>
            <a:lstStyle/>
            <a:p>
              <a:pPr algn="l">
                <a:defRPr i="1" baseline="0"/>
              </a:pPr>
              <a:endParaRPr lang="en-US"/>
            </a:p>
          </c:txPr>
        </c:title>
        <c:numFmt formatCode="#,##0.0" sourceLinked="0"/>
        <c:majorTickMark val="out"/>
        <c:minorTickMark val="none"/>
        <c:tickLblPos val="nextTo"/>
        <c:spPr>
          <a:ln>
            <a:solidFill>
              <a:schemeClr val="tx1">
                <a:lumMod val="65000"/>
                <a:lumOff val="35000"/>
              </a:schemeClr>
            </a:solidFill>
          </a:ln>
        </c:spPr>
        <c:crossAx val="315314032"/>
        <c:crosses val="autoZero"/>
        <c:crossBetween val="midCat"/>
        <c:majorUnit val="0.1"/>
      </c:valAx>
      <c:spPr>
        <a:solidFill>
          <a:schemeClr val="bg1"/>
        </a:solidFill>
        <a:ln w="6350"/>
      </c:spPr>
    </c:plotArea>
    <c:legend>
      <c:legendPos val="b"/>
      <c:layout>
        <c:manualLayout>
          <c:xMode val="edge"/>
          <c:yMode val="edge"/>
          <c:x val="0.24012944485505491"/>
          <c:y val="0.91022550225502263"/>
          <c:w val="0.58492537160220059"/>
          <c:h val="7.6756867568675682E-2"/>
        </c:manualLayout>
      </c:layout>
      <c:overlay val="0"/>
    </c:legend>
    <c:plotVisOnly val="1"/>
    <c:dispBlanksAs val="gap"/>
    <c:showDLblsOverMax val="0"/>
  </c:chart>
  <c:spPr>
    <a:solidFill>
      <a:srgbClr val="D7E6E6"/>
    </a:solidFill>
    <a:ln>
      <a:noFill/>
    </a:ln>
  </c:spPr>
  <c:txPr>
    <a:bodyPr/>
    <a:lstStyle/>
    <a:p>
      <a:pPr>
        <a:defRPr sz="1200">
          <a:latin typeface="Verdana" pitchFamily="34" charset="0"/>
        </a:defRPr>
      </a:pPr>
      <a:endParaRPr lang="en-US"/>
    </a:p>
  </c:txPr>
  <c:printSettings>
    <c:headerFooter/>
    <c:pageMargins b="0.74803149606299812" l="0.7086614173228416" r="0.7086614173228416" t="0.74803149606299812" header="0.31496062992126539" footer="0.31496062992126539"/>
    <c:pageSetup paperSize="9"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50800</xdr:colOff>
      <xdr:row>0</xdr:row>
      <xdr:rowOff>101600</xdr:rowOff>
    </xdr:from>
    <xdr:to>
      <xdr:col>12</xdr:col>
      <xdr:colOff>648400</xdr:colOff>
      <xdr:row>31</xdr:row>
      <xdr:rowOff>49700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50800</xdr:colOff>
      <xdr:row>32</xdr:row>
      <xdr:rowOff>0</xdr:rowOff>
    </xdr:from>
    <xdr:to>
      <xdr:col>12</xdr:col>
      <xdr:colOff>648400</xdr:colOff>
      <xdr:row>62</xdr:row>
      <xdr:rowOff>138600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ADMINI~1/LOCALS~1/Temp/Synthetic%20orphanhood%20method%20Keny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content/orphanhood"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64"/>
  <sheetViews>
    <sheetView showGridLines="0" showRowColHeaders="0" tabSelected="1" zoomScaleNormal="100" workbookViewId="0">
      <selection activeCell="D10" sqref="D10"/>
    </sheetView>
  </sheetViews>
  <sheetFormatPr defaultColWidth="8.88671875" defaultRowHeight="15"/>
  <cols>
    <col min="1" max="1" width="3.6640625" style="5" customWidth="1"/>
    <col min="2" max="2" width="70.109375" style="5" customWidth="1"/>
    <col min="3" max="3" width="22.109375" style="5" customWidth="1"/>
    <col min="4" max="4" width="11.77734375" style="5" customWidth="1"/>
    <col min="5" max="5" width="11.109375" style="5" customWidth="1"/>
    <col min="6" max="6" width="11.5546875" style="5" customWidth="1"/>
    <col min="7" max="7" width="10.88671875" style="5" customWidth="1"/>
    <col min="8" max="16384" width="8.88671875" style="5"/>
  </cols>
  <sheetData>
    <row r="1" spans="1:4" ht="15.75">
      <c r="B1" s="98" t="s">
        <v>122</v>
      </c>
      <c r="C1" s="93" t="s">
        <v>93</v>
      </c>
    </row>
    <row r="2" spans="1:4" s="16" customFormat="1" ht="15.75">
      <c r="B2" s="89"/>
    </row>
    <row r="3" spans="1:4" s="16" customFormat="1">
      <c r="B3" s="90" t="s">
        <v>94</v>
      </c>
    </row>
    <row r="4" spans="1:4" s="16" customFormat="1">
      <c r="B4" s="175" t="s">
        <v>137</v>
      </c>
      <c r="C4" s="91"/>
    </row>
    <row r="5" spans="1:4" s="56" customFormat="1" ht="15.75" customHeight="1">
      <c r="B5" s="89"/>
      <c r="C5" s="16"/>
      <c r="D5" s="5"/>
    </row>
    <row r="6" spans="1:4" ht="60">
      <c r="B6" s="56" t="s">
        <v>88</v>
      </c>
      <c r="C6" s="56"/>
      <c r="D6" s="56"/>
    </row>
    <row r="7" spans="1:4" ht="15.75" thickBot="1"/>
    <row r="8" spans="1:4" ht="16.5" thickBot="1">
      <c r="B8" s="57" t="s">
        <v>83</v>
      </c>
      <c r="C8" s="209" t="s">
        <v>91</v>
      </c>
      <c r="D8" s="210"/>
    </row>
    <row r="9" spans="1:4" ht="15.75" customHeight="1">
      <c r="A9" s="100" t="s">
        <v>96</v>
      </c>
      <c r="B9" s="56" t="s">
        <v>133</v>
      </c>
      <c r="C9" s="95" t="s">
        <v>87</v>
      </c>
      <c r="D9" s="199" t="s">
        <v>120</v>
      </c>
    </row>
    <row r="10" spans="1:4" ht="31.5" customHeight="1">
      <c r="A10" s="100" t="s">
        <v>97</v>
      </c>
      <c r="B10" s="56" t="s">
        <v>134</v>
      </c>
      <c r="C10" s="96" t="s">
        <v>86</v>
      </c>
      <c r="D10" s="200" t="s">
        <v>73</v>
      </c>
    </row>
    <row r="11" spans="1:4" ht="31.5" customHeight="1">
      <c r="A11" s="100" t="s">
        <v>98</v>
      </c>
      <c r="B11" s="56" t="s">
        <v>105</v>
      </c>
      <c r="C11" s="96" t="s">
        <v>85</v>
      </c>
      <c r="D11" s="201" t="s">
        <v>95</v>
      </c>
    </row>
    <row r="12" spans="1:4" ht="31.5" customHeight="1" thickBot="1">
      <c r="A12" s="100" t="s">
        <v>99</v>
      </c>
      <c r="B12" s="56" t="s">
        <v>135</v>
      </c>
      <c r="C12" s="97" t="s">
        <v>84</v>
      </c>
      <c r="D12" s="202">
        <v>35719</v>
      </c>
    </row>
    <row r="13" spans="1:4" s="56" customFormat="1" ht="63" customHeight="1">
      <c r="A13" s="101" t="s">
        <v>100</v>
      </c>
      <c r="B13" s="56" t="s">
        <v>138</v>
      </c>
      <c r="D13" s="58"/>
    </row>
    <row r="14" spans="1:4" ht="47.25" customHeight="1">
      <c r="A14" s="102" t="s">
        <v>101</v>
      </c>
      <c r="B14" s="101" t="s">
        <v>139</v>
      </c>
      <c r="C14" s="56"/>
      <c r="D14" s="82"/>
    </row>
    <row r="15" spans="1:4" ht="47.25" customHeight="1">
      <c r="A15" s="102" t="s">
        <v>101</v>
      </c>
      <c r="B15" s="101" t="s">
        <v>140</v>
      </c>
      <c r="C15" s="56"/>
      <c r="D15" s="82"/>
    </row>
    <row r="16" spans="1:4" ht="63" customHeight="1">
      <c r="A16" s="100" t="s">
        <v>102</v>
      </c>
      <c r="B16" s="56" t="s">
        <v>141</v>
      </c>
      <c r="C16" s="56"/>
    </row>
    <row r="17" spans="1:2" ht="47.25" customHeight="1">
      <c r="A17" s="102" t="s">
        <v>101</v>
      </c>
      <c r="B17" s="101" t="s">
        <v>142</v>
      </c>
    </row>
    <row r="18" spans="1:2" ht="47.25" customHeight="1">
      <c r="A18" s="102" t="s">
        <v>101</v>
      </c>
      <c r="B18" s="101" t="s">
        <v>143</v>
      </c>
    </row>
    <row r="19" spans="1:2" ht="63" customHeight="1">
      <c r="A19" s="100" t="s">
        <v>103</v>
      </c>
      <c r="B19" s="56" t="s">
        <v>144</v>
      </c>
    </row>
    <row r="20" spans="1:2" ht="76.5" customHeight="1">
      <c r="A20" s="100" t="s">
        <v>104</v>
      </c>
      <c r="B20" s="56" t="s">
        <v>145</v>
      </c>
    </row>
    <row r="22" spans="1:2">
      <c r="B22" s="92"/>
    </row>
    <row r="44" spans="2:8">
      <c r="C44" s="83"/>
      <c r="D44" s="83"/>
      <c r="E44" s="94"/>
      <c r="F44" s="94"/>
      <c r="G44" s="94"/>
      <c r="H44" s="83"/>
    </row>
    <row r="45" spans="2:8" ht="15.75">
      <c r="B45" s="87"/>
      <c r="H45" s="85"/>
    </row>
    <row r="46" spans="2:8">
      <c r="B46" s="87"/>
      <c r="H46" s="83"/>
    </row>
    <row r="47" spans="2:8">
      <c r="B47" s="87"/>
      <c r="H47" s="83"/>
    </row>
    <row r="48" spans="2:8">
      <c r="B48" s="87"/>
      <c r="H48" s="83"/>
    </row>
    <row r="49" spans="2:8">
      <c r="B49" s="87"/>
      <c r="H49" s="83"/>
    </row>
    <row r="50" spans="2:8">
      <c r="B50" s="87"/>
      <c r="H50" s="83"/>
    </row>
    <row r="51" spans="2:8">
      <c r="B51" s="87"/>
      <c r="H51" s="83"/>
    </row>
    <row r="52" spans="2:8">
      <c r="B52" s="87"/>
      <c r="H52" s="83"/>
    </row>
    <row r="53" spans="2:8">
      <c r="B53" s="87"/>
      <c r="H53" s="83"/>
    </row>
    <row r="54" spans="2:8">
      <c r="B54" s="87"/>
      <c r="H54" s="83"/>
    </row>
    <row r="55" spans="2:8">
      <c r="B55" s="87"/>
      <c r="H55" s="83"/>
    </row>
    <row r="56" spans="2:8">
      <c r="B56" s="87"/>
      <c r="H56" s="83"/>
    </row>
    <row r="57" spans="2:8">
      <c r="B57" s="87"/>
      <c r="H57" s="83"/>
    </row>
    <row r="58" spans="2:8">
      <c r="B58" s="87"/>
      <c r="H58" s="83"/>
    </row>
    <row r="59" spans="2:8">
      <c r="B59" s="87"/>
      <c r="H59" s="83"/>
    </row>
    <row r="60" spans="2:8">
      <c r="B60" s="87"/>
      <c r="H60" s="83"/>
    </row>
    <row r="61" spans="2:8">
      <c r="B61" s="87"/>
      <c r="C61" s="94"/>
      <c r="D61" s="94"/>
      <c r="E61" s="88"/>
      <c r="F61" s="88"/>
      <c r="G61" s="94"/>
      <c r="H61" s="83"/>
    </row>
    <row r="62" spans="2:8">
      <c r="B62" s="87"/>
      <c r="E62" s="99"/>
      <c r="F62" s="84"/>
    </row>
    <row r="63" spans="2:8">
      <c r="E63" s="99"/>
      <c r="F63" s="84"/>
    </row>
    <row r="64" spans="2:8">
      <c r="E64" s="83"/>
      <c r="F64" s="83"/>
    </row>
  </sheetData>
  <sheetProtection sheet="1" objects="1" scenarios="1" selectLockedCells="1"/>
  <mergeCells count="1">
    <mergeCell ref="C8:D8"/>
  </mergeCells>
  <dataValidations count="4">
    <dataValidation type="list" allowBlank="1" showInputMessage="1" showErrorMessage="1" promptTitle="Select mortality index" sqref="D11">
      <formula1>"45q15,30q30"</formula1>
    </dataValidation>
    <dataValidation type="list" showInputMessage="1" showErrorMessage="1" sqref="D10">
      <formula1>Model_LTs</formula1>
    </dataValidation>
    <dataValidation type="date" operator="greaterThan" allowBlank="1" showInputMessage="1" showErrorMessage="1" promptTitle="Date input" prompt="Please input the date using the default date format on your computer." sqref="D12">
      <formula1>1</formula1>
    </dataValidation>
    <dataValidation type="list" showDropDown="1" showInputMessage="1" showErrorMessage="1" sqref="B4">
      <formula1>"http://demographicestimation.iussp.org/content/orphanhood"</formula1>
    </dataValidation>
  </dataValidations>
  <hyperlinks>
    <hyperlink ref="B4" r:id="rId1"/>
  </hyperlinks>
  <pageMargins left="0.70866141732283472" right="0.70866141732283472" top="0.74803149606299213" bottom="0.74803149606299213" header="0.31496062992125984" footer="0.31496062992125984"/>
  <pageSetup paperSize="9" scale="71" fitToHeight="0" orientation="portrait" r:id="rId2"/>
  <headerFooter>
    <oddHeader>&amp;L&amp;"+,Bold"&amp;14Tools for Demographic Estimation&amp;R&amp;"+,Bold"&amp;14Orphanhood</oddHeader>
    <oddFooter>&amp;L&amp;"+,Regular"&amp;F&amp;R&amp;"+,Regular"&amp;D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M38"/>
  <sheetViews>
    <sheetView workbookViewId="0">
      <selection activeCell="G3" sqref="G3"/>
    </sheetView>
  </sheetViews>
  <sheetFormatPr defaultColWidth="8.88671875" defaultRowHeight="15"/>
  <cols>
    <col min="1" max="1" width="8.88671875" style="104"/>
    <col min="2" max="7" width="11.33203125" style="104" customWidth="1"/>
    <col min="8" max="8" width="3.5546875" style="104" customWidth="1"/>
    <col min="9" max="16384" width="8.88671875" style="104"/>
  </cols>
  <sheetData>
    <row r="1" spans="1:13" ht="18.75">
      <c r="A1" s="103" t="s">
        <v>115</v>
      </c>
      <c r="I1" s="105" t="s">
        <v>106</v>
      </c>
      <c r="J1" s="106"/>
      <c r="K1" s="106"/>
      <c r="L1" s="106"/>
    </row>
    <row r="2" spans="1:13" ht="15.75">
      <c r="A2" s="107" t="s">
        <v>0</v>
      </c>
      <c r="B2" s="107" t="s">
        <v>73</v>
      </c>
      <c r="C2" s="107" t="s">
        <v>107</v>
      </c>
      <c r="D2" s="107" t="s">
        <v>108</v>
      </c>
      <c r="E2" s="107" t="s">
        <v>109</v>
      </c>
      <c r="F2" s="107" t="s">
        <v>110</v>
      </c>
      <c r="G2" s="107" t="s">
        <v>132</v>
      </c>
      <c r="I2" s="108" t="s">
        <v>111</v>
      </c>
      <c r="J2" s="106"/>
      <c r="K2" s="106"/>
      <c r="L2" s="106"/>
    </row>
    <row r="3" spans="1:13" ht="16.5">
      <c r="A3" s="109">
        <v>15</v>
      </c>
      <c r="B3" s="110">
        <v>-1.0121945536850769</v>
      </c>
      <c r="C3" s="110">
        <v>-0.97971406825728613</v>
      </c>
      <c r="D3" s="110">
        <v>-0.96635456814626275</v>
      </c>
      <c r="E3" s="110">
        <v>-0.88990310948808893</v>
      </c>
      <c r="F3" s="110">
        <v>-1.0293119689456429</v>
      </c>
      <c r="G3" s="177"/>
      <c r="I3" s="111" t="s">
        <v>16</v>
      </c>
      <c r="J3" s="112" t="s">
        <v>35</v>
      </c>
      <c r="K3" s="112" t="s">
        <v>36</v>
      </c>
      <c r="L3" s="112" t="s">
        <v>37</v>
      </c>
    </row>
    <row r="4" spans="1:13">
      <c r="A4" s="109">
        <v>20</v>
      </c>
      <c r="B4" s="110">
        <v>-0.97234684182353803</v>
      </c>
      <c r="C4" s="110">
        <v>-0.94156371692343144</v>
      </c>
      <c r="D4" s="110">
        <v>-0.91382222014342573</v>
      </c>
      <c r="E4" s="110">
        <v>-0.85999289910331278</v>
      </c>
      <c r="F4" s="110">
        <v>-0.97893414503700538</v>
      </c>
      <c r="G4" s="177"/>
      <c r="I4" s="113" t="s">
        <v>17</v>
      </c>
      <c r="J4" s="114">
        <v>-0.28939999999999999</v>
      </c>
      <c r="K4" s="157">
        <v>1.25E-3</v>
      </c>
      <c r="L4" s="114">
        <v>1.2559</v>
      </c>
    </row>
    <row r="5" spans="1:13">
      <c r="A5" s="109">
        <v>25</v>
      </c>
      <c r="B5" s="110">
        <v>-0.92078751270821413</v>
      </c>
      <c r="C5" s="110">
        <v>-0.89159541950333177</v>
      </c>
      <c r="D5" s="110">
        <v>-0.85013265027358209</v>
      </c>
      <c r="E5" s="110">
        <v>-0.82016153698599226</v>
      </c>
      <c r="F5" s="110">
        <v>-0.91633966970304337</v>
      </c>
      <c r="G5" s="177"/>
      <c r="I5" s="113" t="s">
        <v>18</v>
      </c>
      <c r="J5" s="114">
        <v>-0.17180000000000001</v>
      </c>
      <c r="K5" s="157">
        <v>2.2200000000000002E-3</v>
      </c>
      <c r="L5" s="114">
        <v>1.1123000000000001</v>
      </c>
    </row>
    <row r="6" spans="1:13">
      <c r="A6" s="109">
        <v>30</v>
      </c>
      <c r="B6" s="110">
        <v>-0.86548423243967132</v>
      </c>
      <c r="C6" s="110">
        <v>-0.84219551169775642</v>
      </c>
      <c r="D6" s="110">
        <v>-0.78726242697886062</v>
      </c>
      <c r="E6" s="110">
        <v>-0.78007392332133241</v>
      </c>
      <c r="F6" s="110">
        <v>-0.85459253778955946</v>
      </c>
      <c r="G6" s="177"/>
      <c r="I6" s="113" t="s">
        <v>19</v>
      </c>
      <c r="J6" s="114">
        <v>-0.15129999999999999</v>
      </c>
      <c r="K6" s="157">
        <v>3.7200000000000002E-3</v>
      </c>
      <c r="L6" s="114">
        <v>1.0525</v>
      </c>
    </row>
    <row r="7" spans="1:13">
      <c r="A7" s="109">
        <v>35</v>
      </c>
      <c r="B7" s="110">
        <v>-0.80533674084601314</v>
      </c>
      <c r="C7" s="110">
        <v>-0.79104803230330434</v>
      </c>
      <c r="D7" s="110">
        <v>-0.72474545944961821</v>
      </c>
      <c r="E7" s="110">
        <v>-0.73709896740170688</v>
      </c>
      <c r="F7" s="110">
        <v>-0.79123192333414838</v>
      </c>
      <c r="G7" s="177"/>
      <c r="I7" s="113" t="s">
        <v>20</v>
      </c>
      <c r="J7" s="114">
        <v>-0.18079999999999999</v>
      </c>
      <c r="K7" s="157">
        <v>5.8599999999999998E-3</v>
      </c>
      <c r="L7" s="114">
        <v>1.0266999999999999</v>
      </c>
    </row>
    <row r="8" spans="1:13">
      <c r="A8" s="109">
        <v>40</v>
      </c>
      <c r="B8" s="110">
        <v>-0.73732521540819196</v>
      </c>
      <c r="C8" s="110">
        <v>-0.73425391825061403</v>
      </c>
      <c r="D8" s="110">
        <v>-0.66077403595339856</v>
      </c>
      <c r="E8" s="110">
        <v>-0.69020740216054988</v>
      </c>
      <c r="F8" s="110">
        <v>-0.72290929940989257</v>
      </c>
      <c r="G8" s="177"/>
      <c r="I8" s="113" t="s">
        <v>21</v>
      </c>
      <c r="J8" s="114">
        <v>-0.25109999999999999</v>
      </c>
      <c r="K8" s="157">
        <v>8.8500000000000002E-3</v>
      </c>
      <c r="L8" s="114">
        <v>1.0219</v>
      </c>
    </row>
    <row r="9" spans="1:13">
      <c r="A9" s="109">
        <v>45</v>
      </c>
      <c r="B9" s="110">
        <v>-0.65863624320988345</v>
      </c>
      <c r="C9" s="110">
        <v>-0.66825754255920489</v>
      </c>
      <c r="D9" s="110">
        <v>-0.5904613819796557</v>
      </c>
      <c r="E9" s="110">
        <v>-0.63449440257961387</v>
      </c>
      <c r="F9" s="110">
        <v>-0.6461549890735192</v>
      </c>
      <c r="G9" s="177"/>
      <c r="I9" s="113" t="s">
        <v>22</v>
      </c>
      <c r="J9" s="114">
        <v>-0.3644</v>
      </c>
      <c r="K9" s="157">
        <v>1.2869999999999999E-2</v>
      </c>
      <c r="L9" s="114">
        <v>1.038</v>
      </c>
    </row>
    <row r="10" spans="1:13">
      <c r="A10" s="109">
        <v>50</v>
      </c>
      <c r="B10" s="110">
        <v>-0.56432091512237903</v>
      </c>
      <c r="C10" s="110">
        <v>-0.58660888869906025</v>
      </c>
      <c r="D10" s="110">
        <v>-0.51474890543256313</v>
      </c>
      <c r="E10" s="110">
        <v>-0.56821295557201257</v>
      </c>
      <c r="F10" s="110">
        <v>-0.55659173180953114</v>
      </c>
      <c r="G10" s="177"/>
      <c r="I10" s="113" t="s">
        <v>23</v>
      </c>
      <c r="J10" s="114">
        <v>-0.5181</v>
      </c>
      <c r="K10" s="157">
        <v>1.7950000000000001E-2</v>
      </c>
      <c r="L10" s="114">
        <v>1.0752999999999999</v>
      </c>
    </row>
    <row r="11" spans="1:13">
      <c r="A11" s="109">
        <v>55</v>
      </c>
      <c r="B11" s="110">
        <v>-0.44835796349979129</v>
      </c>
      <c r="C11" s="110">
        <v>-0.48111641634940366</v>
      </c>
      <c r="D11" s="110">
        <v>-0.42188099777551347</v>
      </c>
      <c r="E11" s="110">
        <v>-0.48239734581505644</v>
      </c>
      <c r="F11" s="110">
        <v>-0.44666706004400114</v>
      </c>
      <c r="G11" s="177"/>
      <c r="I11" s="113" t="s">
        <v>24</v>
      </c>
      <c r="J11" s="114">
        <v>-0.68799999999999994</v>
      </c>
      <c r="K11" s="157">
        <v>2.342E-2</v>
      </c>
      <c r="L11" s="114">
        <v>1.1275999999999999</v>
      </c>
    </row>
    <row r="12" spans="1:13">
      <c r="A12" s="109">
        <v>60</v>
      </c>
      <c r="B12" s="110">
        <v>-0.30638850188113281</v>
      </c>
      <c r="C12" s="110">
        <v>-0.34745214284807552</v>
      </c>
      <c r="D12" s="110">
        <v>-0.31373408763068089</v>
      </c>
      <c r="E12" s="110">
        <v>-0.37368650277193127</v>
      </c>
      <c r="F12" s="110">
        <v>-0.31288957869926254</v>
      </c>
      <c r="G12" s="177"/>
      <c r="I12" s="115" t="s">
        <v>25</v>
      </c>
      <c r="J12" s="116">
        <v>-0.8054</v>
      </c>
      <c r="K12" s="158">
        <v>2.7210000000000002E-2</v>
      </c>
      <c r="L12" s="116">
        <v>1.1677999999999999</v>
      </c>
    </row>
    <row r="13" spans="1:13">
      <c r="A13" s="109">
        <v>65</v>
      </c>
      <c r="B13" s="110">
        <v>-0.13218620461701414</v>
      </c>
      <c r="C13" s="110">
        <v>-0.17916315353789958</v>
      </c>
      <c r="D13" s="110">
        <v>-0.17374005998585826</v>
      </c>
      <c r="E13" s="110">
        <v>-0.22956293913585316</v>
      </c>
      <c r="F13" s="110">
        <v>-0.14574826715382799</v>
      </c>
      <c r="G13" s="177"/>
    </row>
    <row r="14" spans="1:13" ht="15.75">
      <c r="A14" s="109">
        <v>70</v>
      </c>
      <c r="B14" s="110">
        <v>8.1075417880201409E-2</v>
      </c>
      <c r="C14" s="110">
        <v>3.4873769526037102E-2</v>
      </c>
      <c r="D14" s="110">
        <v>7.709813626405328E-3</v>
      </c>
      <c r="E14" s="110">
        <v>-4.0702942595531359E-2</v>
      </c>
      <c r="F14" s="110">
        <v>6.0162515402529336E-2</v>
      </c>
      <c r="G14" s="177"/>
      <c r="I14" s="105" t="s">
        <v>113</v>
      </c>
      <c r="J14" s="106"/>
      <c r="K14" s="106"/>
      <c r="L14" s="106"/>
    </row>
    <row r="15" spans="1:13" ht="15.75">
      <c r="A15" s="109">
        <v>75</v>
      </c>
      <c r="B15" s="110">
        <v>0.34157292464829403</v>
      </c>
      <c r="C15" s="110">
        <v>0.3123474009290419</v>
      </c>
      <c r="D15" s="110">
        <v>0.24438970566438267</v>
      </c>
      <c r="E15" s="110">
        <v>0.21969545818577857</v>
      </c>
      <c r="F15" s="110">
        <v>0.32200302729512403</v>
      </c>
      <c r="G15" s="177"/>
      <c r="I15" s="108" t="s">
        <v>111</v>
      </c>
      <c r="J15" s="106"/>
      <c r="K15" s="106"/>
      <c r="L15" s="106"/>
      <c r="M15" s="106"/>
    </row>
    <row r="16" spans="1:13" ht="16.5">
      <c r="A16" s="109">
        <v>80</v>
      </c>
      <c r="B16" s="110">
        <v>0.6615291707175992</v>
      </c>
      <c r="C16" s="110">
        <v>0.67726953010875401</v>
      </c>
      <c r="D16" s="110">
        <v>0.5542075593189103</v>
      </c>
      <c r="E16" s="110">
        <v>0.58006843196258251</v>
      </c>
      <c r="F16" s="110">
        <v>0.66202299315788493</v>
      </c>
      <c r="G16" s="177"/>
      <c r="I16" s="111" t="s">
        <v>16</v>
      </c>
      <c r="J16" s="112" t="s">
        <v>35</v>
      </c>
      <c r="K16" s="112" t="s">
        <v>36</v>
      </c>
      <c r="L16" s="112" t="s">
        <v>37</v>
      </c>
      <c r="M16" s="112" t="s">
        <v>38</v>
      </c>
    </row>
    <row r="17" spans="1:13">
      <c r="A17" s="118">
        <v>85</v>
      </c>
      <c r="B17" s="119">
        <v>1.067151820502233</v>
      </c>
      <c r="C17" s="119">
        <v>1.17951998038618</v>
      </c>
      <c r="D17" s="119">
        <v>0.97306427262294348</v>
      </c>
      <c r="E17" s="119">
        <v>1.0907265436318963</v>
      </c>
      <c r="F17" s="119">
        <v>1.1203444618292409</v>
      </c>
      <c r="G17" s="178"/>
      <c r="I17" s="129" t="s">
        <v>17</v>
      </c>
      <c r="J17" s="130">
        <v>-0.55779999999999996</v>
      </c>
      <c r="K17" s="154">
        <v>4.0000000000000002E-4</v>
      </c>
      <c r="L17" s="130">
        <v>1.47078</v>
      </c>
      <c r="M17" s="130">
        <v>6.9779999999999995E-2</v>
      </c>
    </row>
    <row r="18" spans="1:13">
      <c r="I18" s="113" t="s">
        <v>18</v>
      </c>
      <c r="J18" s="131">
        <v>-0.40129999999999999</v>
      </c>
      <c r="K18" s="155">
        <v>5.7600000000000004E-3</v>
      </c>
      <c r="L18" s="131">
        <v>1.5602</v>
      </c>
      <c r="M18" s="131">
        <v>-0.35220000000000001</v>
      </c>
    </row>
    <row r="19" spans="1:13" ht="15.75">
      <c r="A19" s="105" t="s">
        <v>68</v>
      </c>
      <c r="B19" s="117"/>
      <c r="C19" s="120" t="s">
        <v>112</v>
      </c>
      <c r="D19" s="177">
        <v>0</v>
      </c>
      <c r="G19" s="195"/>
      <c r="I19" s="113" t="s">
        <v>19</v>
      </c>
      <c r="J19" s="131">
        <v>-0.33289999999999997</v>
      </c>
      <c r="K19" s="155">
        <v>1.031E-2</v>
      </c>
      <c r="L19" s="131">
        <v>0.66559999999999997</v>
      </c>
      <c r="M19" s="131">
        <v>0.34189999999999998</v>
      </c>
    </row>
    <row r="20" spans="1:13">
      <c r="A20" s="106"/>
      <c r="B20" s="106"/>
      <c r="C20" s="120" t="s">
        <v>67</v>
      </c>
      <c r="D20" s="177">
        <v>1</v>
      </c>
      <c r="G20" s="196"/>
      <c r="I20" s="113" t="s">
        <v>20</v>
      </c>
      <c r="J20" s="131">
        <v>-0.47260000000000002</v>
      </c>
      <c r="K20" s="155">
        <v>1.559E-2</v>
      </c>
      <c r="L20" s="131">
        <v>0.21609999999999999</v>
      </c>
      <c r="M20" s="131">
        <v>0.78959999999999997</v>
      </c>
    </row>
    <row r="21" spans="1:13" ht="16.5">
      <c r="A21" s="121"/>
      <c r="B21" s="122" t="str">
        <f>Introduction!D10</f>
        <v>UN General</v>
      </c>
      <c r="C21" s="122" t="s">
        <v>66</v>
      </c>
      <c r="D21" s="122" t="s">
        <v>66</v>
      </c>
      <c r="G21" s="196"/>
      <c r="I21" s="113" t="s">
        <v>21</v>
      </c>
      <c r="J21" s="131">
        <v>-0.7056</v>
      </c>
      <c r="K21" s="155">
        <v>2.0760000000000001E-2</v>
      </c>
      <c r="L21" s="131">
        <v>0.19969999999999999</v>
      </c>
      <c r="M21" s="131">
        <v>0.90659999999999996</v>
      </c>
    </row>
    <row r="22" spans="1:13" ht="18">
      <c r="A22" s="123" t="s">
        <v>0</v>
      </c>
      <c r="B22" s="124" t="s">
        <v>74</v>
      </c>
      <c r="C22" s="124" t="s">
        <v>29</v>
      </c>
      <c r="D22" s="124" t="s">
        <v>29</v>
      </c>
      <c r="G22" s="196"/>
      <c r="I22" s="113" t="s">
        <v>22</v>
      </c>
      <c r="J22" s="131">
        <v>-0.9153</v>
      </c>
      <c r="K22" s="155">
        <v>2.4930000000000001E-2</v>
      </c>
      <c r="L22" s="131">
        <v>0.34839999999999999</v>
      </c>
      <c r="M22" s="131">
        <v>0.86309999999999998</v>
      </c>
    </row>
    <row r="23" spans="1:13" ht="18">
      <c r="A23" s="125"/>
      <c r="B23" s="205" t="s">
        <v>75</v>
      </c>
      <c r="C23" s="197" t="s">
        <v>43</v>
      </c>
      <c r="D23" s="197" t="s">
        <v>44</v>
      </c>
      <c r="G23" s="196"/>
      <c r="I23" s="115" t="s">
        <v>23</v>
      </c>
      <c r="J23" s="132">
        <v>-0.995</v>
      </c>
      <c r="K23" s="156">
        <v>2.6349999999999998E-2</v>
      </c>
      <c r="L23" s="132">
        <v>0.4269</v>
      </c>
      <c r="M23" s="132">
        <v>0.82630000000000003</v>
      </c>
    </row>
    <row r="24" spans="1:13">
      <c r="A24" s="126">
        <v>15</v>
      </c>
      <c r="B24" s="127">
        <f>HLOOKUP(Introduction!D$10,$B$2:$G$17,ROW()-ROW(B$24)+2,FALSE)</f>
        <v>-1.0121945536850769</v>
      </c>
      <c r="C24" s="127">
        <f>$D$19+$D$20*B24</f>
        <v>-1.0121945536850769</v>
      </c>
      <c r="D24" s="127">
        <f>1/(1+EXP(2*C24))</f>
        <v>0.88333409005509533</v>
      </c>
      <c r="G24" s="196"/>
    </row>
    <row r="25" spans="1:13">
      <c r="A25" s="126">
        <f t="shared" ref="A25:A38" si="0">5+A24</f>
        <v>20</v>
      </c>
      <c r="B25" s="128">
        <f>HLOOKUP(Introduction!D$10,$B$2:$G$17,ROW()-ROW(B$24)+2,FALSE)</f>
        <v>-0.97234684182353803</v>
      </c>
      <c r="C25" s="128">
        <f t="shared" ref="C25:C38" si="1">$D$19+$D$20*B25</f>
        <v>-0.97234684182353803</v>
      </c>
      <c r="D25" s="128">
        <f t="shared" ref="D25:D38" si="2">1/(1+EXP(2*C25))</f>
        <v>0.87486688839026305</v>
      </c>
      <c r="G25" s="196"/>
    </row>
    <row r="26" spans="1:13">
      <c r="A26" s="126">
        <f t="shared" si="0"/>
        <v>25</v>
      </c>
      <c r="B26" s="128">
        <f>HLOOKUP(Introduction!D$10,$B$2:$G$17,ROW()-ROW(B$24)+2,FALSE)</f>
        <v>-0.92078751270821413</v>
      </c>
      <c r="C26" s="128">
        <f t="shared" si="1"/>
        <v>-0.92078751270821413</v>
      </c>
      <c r="D26" s="128">
        <f t="shared" si="2"/>
        <v>0.86313487643920483</v>
      </c>
      <c r="G26" s="196"/>
    </row>
    <row r="27" spans="1:13">
      <c r="A27" s="126">
        <f t="shared" si="0"/>
        <v>30</v>
      </c>
      <c r="B27" s="128">
        <f>HLOOKUP(Introduction!D$10,$B$2:$G$17,ROW()-ROW(B$24)+2,FALSE)</f>
        <v>-0.86548423243967132</v>
      </c>
      <c r="C27" s="128">
        <f t="shared" si="1"/>
        <v>-0.86548423243967132</v>
      </c>
      <c r="D27" s="128">
        <f t="shared" si="2"/>
        <v>0.84953625561237445</v>
      </c>
      <c r="G27" s="196"/>
    </row>
    <row r="28" spans="1:13">
      <c r="A28" s="126">
        <f t="shared" si="0"/>
        <v>35</v>
      </c>
      <c r="B28" s="128">
        <f>HLOOKUP(Introduction!D$10,$B$2:$G$17,ROW()-ROW(B$24)+2,FALSE)</f>
        <v>-0.80533674084601314</v>
      </c>
      <c r="C28" s="128">
        <f t="shared" si="1"/>
        <v>-0.80533674084601314</v>
      </c>
      <c r="D28" s="128">
        <f t="shared" si="2"/>
        <v>0.83350486950461589</v>
      </c>
      <c r="G28" s="196"/>
    </row>
    <row r="29" spans="1:13">
      <c r="A29" s="126">
        <f t="shared" si="0"/>
        <v>40</v>
      </c>
      <c r="B29" s="128">
        <f>HLOOKUP(Introduction!D$10,$B$2:$G$17,ROW()-ROW(B$24)+2,FALSE)</f>
        <v>-0.73732521540819196</v>
      </c>
      <c r="C29" s="128">
        <f t="shared" si="1"/>
        <v>-0.73732521540819196</v>
      </c>
      <c r="D29" s="128">
        <f t="shared" si="2"/>
        <v>0.81376319977144118</v>
      </c>
      <c r="G29" s="196"/>
    </row>
    <row r="30" spans="1:13">
      <c r="A30" s="126">
        <f t="shared" si="0"/>
        <v>45</v>
      </c>
      <c r="B30" s="128">
        <f>HLOOKUP(Introduction!D$10,$B$2:$G$17,ROW()-ROW(B$24)+2,FALSE)</f>
        <v>-0.65863624320988345</v>
      </c>
      <c r="C30" s="128">
        <f t="shared" si="1"/>
        <v>-0.65863624320988345</v>
      </c>
      <c r="D30" s="128">
        <f t="shared" si="2"/>
        <v>0.78872756141577427</v>
      </c>
      <c r="G30" s="196"/>
    </row>
    <row r="31" spans="1:13">
      <c r="A31" s="126">
        <f t="shared" si="0"/>
        <v>50</v>
      </c>
      <c r="B31" s="128">
        <f>HLOOKUP(Introduction!D$10,$B$2:$G$17,ROW()-ROW(B$24)+2,FALSE)</f>
        <v>-0.56432091512237903</v>
      </c>
      <c r="C31" s="128">
        <f t="shared" si="1"/>
        <v>-0.56432091512237903</v>
      </c>
      <c r="D31" s="128">
        <f t="shared" si="2"/>
        <v>0.75558816659335271</v>
      </c>
      <c r="G31" s="196"/>
    </row>
    <row r="32" spans="1:13">
      <c r="A32" s="126">
        <f t="shared" si="0"/>
        <v>55</v>
      </c>
      <c r="B32" s="128">
        <f>HLOOKUP(Introduction!D$10,$B$2:$G$17,ROW()-ROW(B$24)+2,FALSE)</f>
        <v>-0.44835796349979129</v>
      </c>
      <c r="C32" s="128">
        <f t="shared" si="1"/>
        <v>-0.44835796349979129</v>
      </c>
      <c r="D32" s="128">
        <f t="shared" si="2"/>
        <v>0.71027415735971011</v>
      </c>
      <c r="G32" s="196"/>
    </row>
    <row r="33" spans="1:7">
      <c r="A33" s="126">
        <f t="shared" si="0"/>
        <v>60</v>
      </c>
      <c r="B33" s="128">
        <f>HLOOKUP(Introduction!D$10,$B$2:$G$17,ROW()-ROW(B$24)+2,FALSE)</f>
        <v>-0.30638850188113281</v>
      </c>
      <c r="C33" s="128">
        <f t="shared" si="1"/>
        <v>-0.30638850188113281</v>
      </c>
      <c r="D33" s="128">
        <f t="shared" si="2"/>
        <v>0.64857401363075629</v>
      </c>
      <c r="G33" s="196"/>
    </row>
    <row r="34" spans="1:7">
      <c r="A34" s="126">
        <f t="shared" si="0"/>
        <v>65</v>
      </c>
      <c r="B34" s="128">
        <f>HLOOKUP(Introduction!D$10,$B$2:$G$17,ROW()-ROW(B$24)+2,FALSE)</f>
        <v>-0.13218620461701414</v>
      </c>
      <c r="C34" s="128">
        <f t="shared" si="1"/>
        <v>-0.13218620461701414</v>
      </c>
      <c r="D34" s="128">
        <f t="shared" si="2"/>
        <v>0.56571082144915019</v>
      </c>
      <c r="G34" s="196"/>
    </row>
    <row r="35" spans="1:7">
      <c r="A35" s="126">
        <f t="shared" si="0"/>
        <v>70</v>
      </c>
      <c r="B35" s="128">
        <f>HLOOKUP(Introduction!D$10,$B$2:$G$17,ROW()-ROW(B$24)+2,FALSE)</f>
        <v>8.1075417880201409E-2</v>
      </c>
      <c r="C35" s="128">
        <f t="shared" si="1"/>
        <v>8.1075417880201409E-2</v>
      </c>
      <c r="D35" s="128">
        <f t="shared" si="2"/>
        <v>0.45955087928190458</v>
      </c>
    </row>
    <row r="36" spans="1:7">
      <c r="A36" s="126">
        <f t="shared" si="0"/>
        <v>75</v>
      </c>
      <c r="B36" s="128">
        <f>HLOOKUP(Introduction!D$10,$B$2:$G$17,ROW()-ROW(B$24)+2,FALSE)</f>
        <v>0.34157292464829403</v>
      </c>
      <c r="C36" s="128">
        <f t="shared" si="1"/>
        <v>0.34157292464829403</v>
      </c>
      <c r="D36" s="128">
        <f t="shared" si="2"/>
        <v>0.33555954367971813</v>
      </c>
    </row>
    <row r="37" spans="1:7">
      <c r="A37" s="126">
        <f t="shared" si="0"/>
        <v>80</v>
      </c>
      <c r="B37" s="128">
        <f>HLOOKUP(Introduction!D$10,$B$2:$G$17,ROW()-ROW(B$24)+2,FALSE)</f>
        <v>0.6615291707175992</v>
      </c>
      <c r="C37" s="128">
        <f t="shared" si="1"/>
        <v>0.6615291707175992</v>
      </c>
      <c r="D37" s="128">
        <f t="shared" si="2"/>
        <v>0.21030991517579642</v>
      </c>
    </row>
    <row r="38" spans="1:7">
      <c r="A38" s="133">
        <f t="shared" si="0"/>
        <v>85</v>
      </c>
      <c r="B38" s="116">
        <f>HLOOKUP(Introduction!D$10,$B$2:$G$17,ROW()-ROW(B$24)+2,FALSE)</f>
        <v>1.067151820502233</v>
      </c>
      <c r="C38" s="116">
        <f t="shared" si="1"/>
        <v>1.067151820502233</v>
      </c>
      <c r="D38" s="116">
        <f t="shared" si="2"/>
        <v>0.1058071243893276</v>
      </c>
    </row>
  </sheetData>
  <dataValidations count="3">
    <dataValidation type="decimal" allowBlank="1" showInputMessage="1" showErrorMessage="1" error="-1.5&lt;α&lt;1" promptTitle="Level parameter" prompt="α can vary from -1.5 (low mortality) to 1 (high mortality) around a central value of zero" sqref="D19">
      <formula1>-1.5</formula1>
      <formula2>1</formula2>
    </dataValidation>
    <dataValidation type="decimal" allowBlank="1" showInputMessage="1" showErrorMessage="1" error="0.6&lt;β&lt;1.5" promptTitle="Slope parameter" prompt="β can vary between 0.6 (relatively high mortality at younger ages) and 1.5 (relatively high mortality at older ages) around a central value of one." sqref="D20">
      <formula1>0.6</formula1>
      <formula2>1.5</formula2>
    </dataValidation>
    <dataValidation type="decimal" allowBlank="1" showInputMessage="1" showErrorMessage="1" error="Enter numeric values of the logits" sqref="G3:G17">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8" transitionEvaluation="1">
    <tabColor theme="7" tint="0.59999389629810485"/>
    <pageSetUpPr autoPageBreaks="0"/>
  </sheetPr>
  <dimension ref="A1:BG142"/>
  <sheetViews>
    <sheetView topLeftCell="A18" workbookViewId="0">
      <selection activeCell="E48" sqref="E48"/>
    </sheetView>
  </sheetViews>
  <sheetFormatPr defaultColWidth="9.77734375" defaultRowHeight="15"/>
  <cols>
    <col min="1" max="1" width="6.33203125" style="67" customWidth="1"/>
    <col min="2" max="5" width="8.77734375" style="67" customWidth="1"/>
    <col min="6" max="6" width="5" style="67" customWidth="1"/>
    <col min="7" max="11" width="8.77734375" style="67" customWidth="1"/>
    <col min="12" max="12" width="2.77734375" style="67" customWidth="1"/>
    <col min="13" max="14" width="6.77734375" style="67" customWidth="1"/>
    <col min="15" max="16" width="7.77734375" style="67" customWidth="1"/>
    <col min="17" max="17" width="10" style="67" customWidth="1"/>
    <col min="18" max="18" width="8.33203125" style="67" customWidth="1"/>
    <col min="19" max="19" width="8.21875" style="67" customWidth="1"/>
    <col min="20" max="20" width="6.77734375" style="67" customWidth="1"/>
    <col min="21" max="16384" width="9.77734375" style="67"/>
  </cols>
  <sheetData>
    <row r="1" spans="1:59" ht="15" customHeight="1">
      <c r="A1" s="6" t="s">
        <v>64</v>
      </c>
      <c r="B1" s="3"/>
      <c r="C1" s="3"/>
      <c r="D1" s="3"/>
      <c r="E1" s="3"/>
      <c r="F1" s="3"/>
      <c r="G1" s="145" t="str">
        <f>Introduction!D9</f>
        <v>Iraq</v>
      </c>
      <c r="H1" s="6"/>
      <c r="I1" s="3"/>
      <c r="J1" s="146" t="s">
        <v>92</v>
      </c>
      <c r="K1" s="75">
        <f>Introduction!D12</f>
        <v>35719</v>
      </c>
      <c r="L1" s="18"/>
      <c r="M1" s="15" t="s">
        <v>27</v>
      </c>
      <c r="N1" s="3"/>
      <c r="O1" s="3"/>
      <c r="P1" s="3"/>
      <c r="Q1" s="3"/>
      <c r="R1" s="3"/>
      <c r="S1" s="146" t="s">
        <v>116</v>
      </c>
      <c r="T1" s="176">
        <f>YEAR(K1)+YEARFRAC(DATE(YEAR(K1),1,1),K1,1)</f>
        <v>1997.7890410958903</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row>
    <row r="2" spans="1:59" ht="15" customHeight="1">
      <c r="A2" s="173" t="s">
        <v>126</v>
      </c>
      <c r="B2" s="3"/>
      <c r="C2" s="3"/>
      <c r="D2" s="3"/>
      <c r="E2" s="3"/>
      <c r="F2" s="3"/>
      <c r="G2" s="145"/>
      <c r="H2" s="6"/>
      <c r="I2" s="3"/>
      <c r="J2" s="146"/>
      <c r="K2" s="75"/>
      <c r="L2" s="18"/>
      <c r="M2" s="15"/>
      <c r="N2" s="3"/>
      <c r="O2" s="3"/>
      <c r="P2" s="3"/>
      <c r="Q2" s="3"/>
      <c r="R2" s="3"/>
      <c r="S2" s="146"/>
      <c r="T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row>
    <row r="3" spans="1:59" ht="15" customHeight="1">
      <c r="A3" s="149"/>
      <c r="B3" s="150"/>
      <c r="C3" s="150"/>
      <c r="D3" s="150"/>
      <c r="E3" s="211" t="s">
        <v>119</v>
      </c>
      <c r="F3" s="164"/>
      <c r="G3" s="150"/>
      <c r="H3" s="150"/>
      <c r="I3" s="150"/>
      <c r="J3" s="22" t="s">
        <v>117</v>
      </c>
      <c r="K3" s="150"/>
      <c r="L3" s="19"/>
      <c r="M3" s="22" t="s">
        <v>0</v>
      </c>
      <c r="N3" s="22" t="s">
        <v>28</v>
      </c>
      <c r="O3" s="22" t="s">
        <v>3</v>
      </c>
      <c r="P3" s="22" t="s">
        <v>29</v>
      </c>
      <c r="Q3" s="22" t="s">
        <v>60</v>
      </c>
      <c r="R3" s="22" t="s">
        <v>15</v>
      </c>
      <c r="S3" s="22" t="s">
        <v>30</v>
      </c>
      <c r="T3" s="61"/>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row>
    <row r="4" spans="1:59" ht="15" customHeight="1">
      <c r="A4" s="32" t="s">
        <v>0</v>
      </c>
      <c r="B4" s="32" t="s">
        <v>1</v>
      </c>
      <c r="C4" s="32" t="s">
        <v>2</v>
      </c>
      <c r="D4" s="32" t="s">
        <v>3</v>
      </c>
      <c r="E4" s="212"/>
      <c r="F4" s="32" t="s">
        <v>0</v>
      </c>
      <c r="G4" s="147" t="s">
        <v>41</v>
      </c>
      <c r="H4" s="33" t="s">
        <v>29</v>
      </c>
      <c r="I4" s="32" t="s">
        <v>4</v>
      </c>
      <c r="J4" s="32" t="s">
        <v>118</v>
      </c>
      <c r="K4" s="148"/>
      <c r="L4" s="19"/>
      <c r="M4" s="32" t="s">
        <v>55</v>
      </c>
      <c r="N4" s="32" t="s">
        <v>54</v>
      </c>
      <c r="O4" s="32" t="s">
        <v>57</v>
      </c>
      <c r="P4" s="32" t="s">
        <v>58</v>
      </c>
      <c r="Q4" s="32" t="s">
        <v>59</v>
      </c>
      <c r="R4" s="32" t="s">
        <v>65</v>
      </c>
      <c r="S4" s="32" t="s">
        <v>61</v>
      </c>
      <c r="T4" s="32" t="s">
        <v>5</v>
      </c>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row>
    <row r="5" spans="1:59" ht="15" customHeight="1">
      <c r="A5" s="23" t="s">
        <v>55</v>
      </c>
      <c r="B5" s="23" t="s">
        <v>79</v>
      </c>
      <c r="C5" s="23" t="s">
        <v>56</v>
      </c>
      <c r="D5" s="167" t="s">
        <v>56</v>
      </c>
      <c r="E5" s="213"/>
      <c r="F5" s="171" t="s">
        <v>16</v>
      </c>
      <c r="G5" s="24" t="s">
        <v>40</v>
      </c>
      <c r="H5" s="23" t="s">
        <v>42</v>
      </c>
      <c r="I5" s="33" t="s">
        <v>62</v>
      </c>
      <c r="J5" s="136" t="str">
        <f>Introduction!D11</f>
        <v>30q30</v>
      </c>
      <c r="K5" s="37" t="s">
        <v>5</v>
      </c>
      <c r="L5" s="20"/>
      <c r="M5" s="72"/>
      <c r="N5" s="34" t="s">
        <v>45</v>
      </c>
      <c r="O5" s="23" t="s">
        <v>33</v>
      </c>
      <c r="P5" s="34" t="s">
        <v>50</v>
      </c>
      <c r="Q5" s="23" t="s">
        <v>34</v>
      </c>
      <c r="R5" s="23" t="s">
        <v>51</v>
      </c>
      <c r="S5" s="34" t="s">
        <v>52</v>
      </c>
      <c r="T5" s="72"/>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row>
    <row r="6" spans="1:59" ht="15" customHeight="1">
      <c r="A6" s="26" t="s">
        <v>63</v>
      </c>
      <c r="B6" s="179">
        <v>1442900</v>
      </c>
      <c r="C6" s="179">
        <v>1431000</v>
      </c>
      <c r="D6" s="27">
        <f>C6/B6</f>
        <v>0.99175272021623118</v>
      </c>
      <c r="E6" s="134">
        <f t="shared" ref="E6:E14" si="0">MBAR</f>
        <v>28.280746395250212</v>
      </c>
      <c r="F6" s="169">
        <v>10</v>
      </c>
      <c r="G6" s="49">
        <f>'Model data'!J4+'Model data'!K4*E6+'Model data'!L4*D6</f>
        <v>0.99149317431362749</v>
      </c>
      <c r="H6" s="49">
        <f>'Model data'!D28</f>
        <v>0.83350486950461589</v>
      </c>
      <c r="I6" s="51">
        <f>-0.5*LN(1+(G6/H6-1/'Model data'!$D$26)/(1-G6))</f>
        <v>-0.76754236738580917</v>
      </c>
      <c r="J6" s="182">
        <f>1-(1+EXP(2*(I6+IF(Introduction!D$11="45q15",'Model data'!$C$24,'Model data'!$C$27))))/(1+EXP(2*(I6+'Model data'!$C$33)))</f>
        <v>7.0363046090536119E-2</v>
      </c>
      <c r="K6" s="183">
        <f>T6</f>
        <v>1994.2245265326853</v>
      </c>
      <c r="L6" s="21"/>
      <c r="M6" s="26" t="s">
        <v>63</v>
      </c>
      <c r="N6" s="40">
        <f>7.5</f>
        <v>7.5</v>
      </c>
      <c r="O6" s="27">
        <f t="shared" ref="O6:O14" si="1">D6</f>
        <v>0.99175272021623118</v>
      </c>
      <c r="P6" s="27">
        <f t="shared" ref="P6:P14" si="2">(1-(MBAR+N6)/80)/(1-MBAR/80)</f>
        <v>0.85498630631221606</v>
      </c>
      <c r="Q6" s="27">
        <f t="shared" ref="Q6:Q14" si="3">LN(O6/P6)/3</f>
        <v>4.9462783145326449E-2</v>
      </c>
      <c r="R6" s="40">
        <f t="shared" ref="R6:R14" si="4">N6/2</f>
        <v>3.75</v>
      </c>
      <c r="S6" s="28">
        <f t="shared" ref="S6:S14" si="5">R6*(1-Q6)</f>
        <v>3.5645145632050257</v>
      </c>
      <c r="T6" s="38">
        <f t="shared" ref="T6:T14" si="6">Date_of_survey-S6</f>
        <v>1994.2245265326853</v>
      </c>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row>
    <row r="7" spans="1:59" ht="15" customHeight="1">
      <c r="A7" s="26" t="s">
        <v>7</v>
      </c>
      <c r="B7" s="180">
        <v>1219280</v>
      </c>
      <c r="C7" s="180">
        <v>1197160</v>
      </c>
      <c r="D7" s="27">
        <f t="shared" ref="D7:D14" si="7">C7/B7</f>
        <v>0.98185814579095865</v>
      </c>
      <c r="E7" s="135">
        <f t="shared" si="0"/>
        <v>28.280746395250212</v>
      </c>
      <c r="F7" s="170">
        <v>15</v>
      </c>
      <c r="G7" s="50">
        <f>'Model data'!J5+'Model data'!K5*E7+'Model data'!L5*D7</f>
        <v>0.98310407256073884</v>
      </c>
      <c r="H7" s="50">
        <f>'Model data'!D29</f>
        <v>0.81376319977144118</v>
      </c>
      <c r="I7" s="52">
        <f>-0.5*LN(1+(G7/H7-1/'Model data'!$D$26)/(1-G7))</f>
        <v>-0.68449632389101633</v>
      </c>
      <c r="J7" s="184">
        <f>1-(1+EXP(2*(I7+IF(Introduction!D$11="45q15",'Model data'!$C$24,'Model data'!$C$27))))/(1+EXP(2*(I7+'Model data'!$C$33)))</f>
        <v>8.1536400561450617E-2</v>
      </c>
      <c r="K7" s="185">
        <f>T7</f>
        <v>1992.0772783819007</v>
      </c>
      <c r="L7" s="21"/>
      <c r="M7" s="26" t="s">
        <v>7</v>
      </c>
      <c r="N7" s="40">
        <f>N6+5</f>
        <v>12.5</v>
      </c>
      <c r="O7" s="27">
        <f t="shared" si="1"/>
        <v>0.98185814579095865</v>
      </c>
      <c r="P7" s="27">
        <f t="shared" si="2"/>
        <v>0.75831051052036014</v>
      </c>
      <c r="Q7" s="27">
        <f t="shared" si="3"/>
        <v>8.6117965761653537E-2</v>
      </c>
      <c r="R7" s="40">
        <f t="shared" si="4"/>
        <v>6.25</v>
      </c>
      <c r="S7" s="28">
        <f t="shared" si="5"/>
        <v>5.7117627139896658</v>
      </c>
      <c r="T7" s="38">
        <f t="shared" si="6"/>
        <v>1992.0772783819007</v>
      </c>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row>
    <row r="8" spans="1:59" ht="15" customHeight="1">
      <c r="A8" s="26" t="s">
        <v>8</v>
      </c>
      <c r="B8" s="179">
        <v>1104880</v>
      </c>
      <c r="C8" s="179">
        <v>1067890</v>
      </c>
      <c r="D8" s="27">
        <f t="shared" si="7"/>
        <v>0.96652125117659837</v>
      </c>
      <c r="E8" s="135">
        <f t="shared" si="0"/>
        <v>28.280746395250212</v>
      </c>
      <c r="F8" s="170">
        <v>20</v>
      </c>
      <c r="G8" s="50">
        <f>'Model data'!J6+'Model data'!K6*E8+'Model data'!L6*D8</f>
        <v>0.97116799345370053</v>
      </c>
      <c r="H8" s="50">
        <f>'Model data'!D30</f>
        <v>0.78872756141577427</v>
      </c>
      <c r="I8" s="52">
        <f>-0.5*LN(1+(G8/H8-1/'Model data'!$D$26)/(1-G8))</f>
        <v>-0.62965245374198342</v>
      </c>
      <c r="J8" s="184">
        <f>1-(1+EXP(2*(I8+IF(Introduction!D$11="45q15",'Model data'!$C$24,'Model data'!$C$27))))/(1+EXP(2*(I8+'Model data'!$C$33)))</f>
        <v>8.9728854315122564E-2</v>
      </c>
      <c r="K8" s="185">
        <f>T8</f>
        <v>1990.1444276420502</v>
      </c>
      <c r="L8" s="21"/>
      <c r="M8" s="26" t="s">
        <v>8</v>
      </c>
      <c r="N8" s="40">
        <f t="shared" ref="N8:N14" si="8">N7+5</f>
        <v>17.5</v>
      </c>
      <c r="O8" s="27">
        <f t="shared" si="1"/>
        <v>0.96652125117659837</v>
      </c>
      <c r="P8" s="27">
        <f t="shared" si="2"/>
        <v>0.66163471472850421</v>
      </c>
      <c r="Q8" s="27">
        <f t="shared" si="3"/>
        <v>0.12632989098971054</v>
      </c>
      <c r="R8" s="40">
        <f t="shared" si="4"/>
        <v>8.75</v>
      </c>
      <c r="S8" s="28">
        <f t="shared" si="5"/>
        <v>7.6446134538400319</v>
      </c>
      <c r="T8" s="38">
        <f t="shared" si="6"/>
        <v>1990.1444276420502</v>
      </c>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row>
    <row r="9" spans="1:59" ht="15" customHeight="1">
      <c r="A9" s="26" t="s">
        <v>9</v>
      </c>
      <c r="B9" s="180">
        <v>913400</v>
      </c>
      <c r="C9" s="180">
        <v>860000</v>
      </c>
      <c r="D9" s="27">
        <f t="shared" si="7"/>
        <v>0.94153711407926433</v>
      </c>
      <c r="E9" s="135">
        <f t="shared" si="0"/>
        <v>28.280746395250212</v>
      </c>
      <c r="F9" s="170">
        <v>25</v>
      </c>
      <c r="G9" s="50">
        <f>'Model data'!J7+'Model data'!K7*E9+'Model data'!L7*D9</f>
        <v>0.95160132890134697</v>
      </c>
      <c r="H9" s="50">
        <f>'Model data'!D31</f>
        <v>0.75558816659335271</v>
      </c>
      <c r="I9" s="52">
        <f>-0.5*LN(1+(G9/H9-1/'Model data'!$D$26)/(1-G9))</f>
        <v>-0.56307244428432202</v>
      </c>
      <c r="J9" s="184">
        <f>1-(1+EXP(2*(I9+IF(Introduction!D$11="45q15",'Model data'!$C$24,'Model data'!$C$27))))/(1+EXP(2*(I9+'Model data'!$C$33)))</f>
        <v>0.10059916619492326</v>
      </c>
      <c r="K9" s="185">
        <f>T9</f>
        <v>1988.4543939039745</v>
      </c>
      <c r="L9" s="21"/>
      <c r="M9" s="26" t="s">
        <v>9</v>
      </c>
      <c r="N9" s="40">
        <f t="shared" si="8"/>
        <v>22.5</v>
      </c>
      <c r="O9" s="27">
        <f t="shared" si="1"/>
        <v>0.94153711407926433</v>
      </c>
      <c r="P9" s="27">
        <f t="shared" si="2"/>
        <v>0.56495891893664818</v>
      </c>
      <c r="Q9" s="27">
        <f t="shared" si="3"/>
        <v>0.17025358294082679</v>
      </c>
      <c r="R9" s="40">
        <f t="shared" si="4"/>
        <v>11.25</v>
      </c>
      <c r="S9" s="28">
        <f t="shared" si="5"/>
        <v>9.3346471919156979</v>
      </c>
      <c r="T9" s="38">
        <f t="shared" si="6"/>
        <v>1988.4543939039745</v>
      </c>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row>
    <row r="10" spans="1:59" ht="15" customHeight="1">
      <c r="A10" s="26" t="s">
        <v>10</v>
      </c>
      <c r="B10" s="179">
        <v>817290</v>
      </c>
      <c r="C10" s="179">
        <v>736000</v>
      </c>
      <c r="D10" s="27">
        <f t="shared" si="7"/>
        <v>0.90053714103928839</v>
      </c>
      <c r="E10" s="135">
        <f t="shared" si="0"/>
        <v>28.280746395250212</v>
      </c>
      <c r="F10" s="170">
        <v>30</v>
      </c>
      <c r="G10" s="50">
        <f>'Model data'!J8+'Model data'!K8*E10+'Model data'!L8*D10</f>
        <v>0.91944351002601321</v>
      </c>
      <c r="H10" s="50">
        <f>'Model data'!D32</f>
        <v>0.71027415735971011</v>
      </c>
      <c r="I10" s="52">
        <f>-0.5*LN(1+(G10/H10-1/'Model data'!$D$26)/(1-G10))</f>
        <v>-0.49426978202739996</v>
      </c>
      <c r="J10" s="184">
        <f>1-(1+EXP(2*(I10+IF(Introduction!D$11="45q15",'Model data'!$C$24,'Model data'!$C$27))))/(1+EXP(2*(I10+'Model data'!$C$33)))</f>
        <v>0.11294958672362621</v>
      </c>
      <c r="K10" s="185">
        <f t="shared" ref="K10:K11" si="9">T10</f>
        <v>1987.0361667827924</v>
      </c>
      <c r="L10" s="21"/>
      <c r="M10" s="26" t="s">
        <v>10</v>
      </c>
      <c r="N10" s="40">
        <f t="shared" si="8"/>
        <v>27.5</v>
      </c>
      <c r="O10" s="27">
        <f t="shared" si="1"/>
        <v>0.90053714103928839</v>
      </c>
      <c r="P10" s="27">
        <f t="shared" si="2"/>
        <v>0.46828312314479226</v>
      </c>
      <c r="Q10" s="27">
        <f t="shared" si="3"/>
        <v>0.21797277722925143</v>
      </c>
      <c r="R10" s="40">
        <f t="shared" si="4"/>
        <v>13.75</v>
      </c>
      <c r="S10" s="28">
        <f t="shared" si="5"/>
        <v>10.752874313097793</v>
      </c>
      <c r="T10" s="38">
        <f t="shared" si="6"/>
        <v>1987.0361667827924</v>
      </c>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row>
    <row r="11" spans="1:59" ht="15" customHeight="1">
      <c r="A11" s="26" t="s">
        <v>11</v>
      </c>
      <c r="B11" s="180">
        <v>616970</v>
      </c>
      <c r="C11" s="180">
        <v>516650</v>
      </c>
      <c r="D11" s="27">
        <f t="shared" si="7"/>
        <v>0.83739890108108983</v>
      </c>
      <c r="E11" s="135">
        <f t="shared" si="0"/>
        <v>28.280746395250212</v>
      </c>
      <c r="F11" s="170">
        <v>35</v>
      </c>
      <c r="G11" s="50">
        <f>'Model data'!J9+'Model data'!K9*E11+'Model data'!L9*D11</f>
        <v>0.86879326542904156</v>
      </c>
      <c r="H11" s="50">
        <f>'Model data'!D33</f>
        <v>0.64857401363075629</v>
      </c>
      <c r="I11" s="52">
        <f>-0.5*LN(1+(G11/H11-1/'Model data'!$D$26)/(1-G11))</f>
        <v>-0.43340767685475601</v>
      </c>
      <c r="J11" s="184">
        <f>1-(1+EXP(2*(I11+IF(Introduction!D$11="45q15",'Model data'!$C$24,'Model data'!$C$27))))/(1+EXP(2*(I11+'Model data'!$C$33)))</f>
        <v>0.1248581324417859</v>
      </c>
      <c r="K11" s="185">
        <f t="shared" si="9"/>
        <v>1985.9398813500488</v>
      </c>
      <c r="L11" s="21"/>
      <c r="M11" s="26" t="s">
        <v>11</v>
      </c>
      <c r="N11" s="40">
        <f t="shared" si="8"/>
        <v>32.5</v>
      </c>
      <c r="O11" s="27">
        <f t="shared" si="1"/>
        <v>0.83739890108108983</v>
      </c>
      <c r="P11" s="27">
        <f t="shared" si="2"/>
        <v>0.37160732735293633</v>
      </c>
      <c r="Q11" s="27">
        <f t="shared" si="3"/>
        <v>0.27082093871744944</v>
      </c>
      <c r="R11" s="40">
        <f t="shared" si="4"/>
        <v>16.25</v>
      </c>
      <c r="S11" s="28">
        <f t="shared" si="5"/>
        <v>11.849159745841447</v>
      </c>
      <c r="T11" s="38">
        <f t="shared" si="6"/>
        <v>1985.9398813500488</v>
      </c>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row>
    <row r="12" spans="1:59" ht="15" customHeight="1">
      <c r="A12" s="26" t="s">
        <v>12</v>
      </c>
      <c r="B12" s="179">
        <v>368600</v>
      </c>
      <c r="C12" s="179">
        <v>283010</v>
      </c>
      <c r="D12" s="27">
        <f t="shared" si="7"/>
        <v>0.76779706999457409</v>
      </c>
      <c r="E12" s="135">
        <f t="shared" si="0"/>
        <v>28.280746395250212</v>
      </c>
      <c r="F12" s="170">
        <v>40</v>
      </c>
      <c r="G12" s="50">
        <f>'Model data'!J10+'Model data'!K10*E12+'Model data'!L10*D12</f>
        <v>0.81515158715990677</v>
      </c>
      <c r="H12" s="50">
        <f>'Model data'!D34</f>
        <v>0.56571082144915019</v>
      </c>
      <c r="I12" s="52">
        <f>-0.5*LN(1+(G12/H12-1/'Model data'!$D$26)/(1-G12))</f>
        <v>-0.46362594627399167</v>
      </c>
      <c r="J12" s="184">
        <f>1-(1+EXP(2*(I12+IF(Introduction!D$11="45q15",'Model data'!$C$24,'Model data'!$C$27))))/(1+EXP(2*(I12+'Model data'!$C$33)))</f>
        <v>0.11882828810699086</v>
      </c>
      <c r="K12" s="192">
        <f>IF(T12&gt;=T11,NA(),T12)</f>
        <v>1985.4578121954469</v>
      </c>
      <c r="L12" s="21"/>
      <c r="M12" s="26" t="s">
        <v>12</v>
      </c>
      <c r="N12" s="40">
        <f t="shared" si="8"/>
        <v>37.5</v>
      </c>
      <c r="O12" s="27">
        <f t="shared" si="1"/>
        <v>0.76779706999457409</v>
      </c>
      <c r="P12" s="27">
        <f t="shared" si="2"/>
        <v>0.27493153156108019</v>
      </c>
      <c r="Q12" s="27">
        <f t="shared" si="3"/>
        <v>0.34233445864302242</v>
      </c>
      <c r="R12" s="40">
        <f t="shared" si="4"/>
        <v>18.75</v>
      </c>
      <c r="S12" s="28">
        <f t="shared" si="5"/>
        <v>12.33122890044333</v>
      </c>
      <c r="T12" s="38">
        <f t="shared" si="6"/>
        <v>1985.4578121954469</v>
      </c>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row>
    <row r="13" spans="1:59" ht="15" customHeight="1">
      <c r="A13" s="26" t="s">
        <v>13</v>
      </c>
      <c r="B13" s="180">
        <v>402630</v>
      </c>
      <c r="C13" s="180">
        <v>256880</v>
      </c>
      <c r="D13" s="27">
        <f t="shared" si="7"/>
        <v>0.6380051163599334</v>
      </c>
      <c r="E13" s="135">
        <f t="shared" si="0"/>
        <v>28.280746395250212</v>
      </c>
      <c r="F13" s="170">
        <v>45</v>
      </c>
      <c r="G13" s="50">
        <f>'Model data'!J11+'Model data'!K11*E13+'Model data'!L11*D13</f>
        <v>0.69374964978422082</v>
      </c>
      <c r="H13" s="50">
        <f>'Model data'!D35</f>
        <v>0.45955087928190458</v>
      </c>
      <c r="I13" s="52">
        <f>-0.5*LN(1+(G13/H13-1/'Model data'!$D$26)/(1-G13))</f>
        <v>-0.38187505484456347</v>
      </c>
      <c r="J13" s="184">
        <f>1-(1+EXP(2*(I13+IF(Introduction!D$11="45q15",'Model data'!$C$24,'Model data'!$C$27))))/(1+EXP(2*(I13+'Model data'!$C$33)))</f>
        <v>0.13568093909924006</v>
      </c>
      <c r="K13" s="192" t="e">
        <f t="shared" ref="K13:K14" si="10">IF(T13&gt;=T12,NA(),T13)</f>
        <v>#N/A</v>
      </c>
      <c r="L13" s="21"/>
      <c r="M13" s="26" t="s">
        <v>13</v>
      </c>
      <c r="N13" s="40">
        <f t="shared" si="8"/>
        <v>42.5</v>
      </c>
      <c r="O13" s="27">
        <f t="shared" si="1"/>
        <v>0.6380051163599334</v>
      </c>
      <c r="P13" s="27">
        <f t="shared" si="2"/>
        <v>0.17825573576922427</v>
      </c>
      <c r="Q13" s="27">
        <f t="shared" si="3"/>
        <v>0.42504235522680228</v>
      </c>
      <c r="R13" s="40">
        <f t="shared" si="4"/>
        <v>21.25</v>
      </c>
      <c r="S13" s="28">
        <f t="shared" si="5"/>
        <v>12.21784995143045</v>
      </c>
      <c r="T13" s="38">
        <f t="shared" si="6"/>
        <v>1985.5711911444598</v>
      </c>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row>
    <row r="14" spans="1:59" ht="15" customHeight="1">
      <c r="A14" s="29" t="s">
        <v>14</v>
      </c>
      <c r="B14" s="181">
        <v>293060</v>
      </c>
      <c r="C14" s="181">
        <v>144790</v>
      </c>
      <c r="D14" s="30">
        <f t="shared" si="7"/>
        <v>0.49406264928683546</v>
      </c>
      <c r="E14" s="39">
        <f t="shared" si="0"/>
        <v>28.280746395250212</v>
      </c>
      <c r="F14" s="172">
        <v>50</v>
      </c>
      <c r="G14" s="30">
        <f>'Model data'!J12+'Model data'!K12*E14+'Model data'!L12*D14</f>
        <v>0.54108547125192474</v>
      </c>
      <c r="H14" s="30">
        <f>'Model data'!D36</f>
        <v>0.33555954367971813</v>
      </c>
      <c r="I14" s="53">
        <f>-0.5*LN(1+(G14/H14-1/'Model data'!$D$26)/(1-G14))</f>
        <v>-0.34384517158361122</v>
      </c>
      <c r="J14" s="186">
        <f>1-(1+EXP(2*(I14+IF(Introduction!D$11="45q15",'Model data'!$C$24,'Model data'!$C$27))))/(1+EXP(2*(I14+'Model data'!$C$33)))</f>
        <v>0.14410787121702673</v>
      </c>
      <c r="K14" s="193" t="e">
        <f t="shared" si="10"/>
        <v>#N/A</v>
      </c>
      <c r="L14" s="21"/>
      <c r="M14" s="29" t="s">
        <v>14</v>
      </c>
      <c r="N14" s="41">
        <f t="shared" si="8"/>
        <v>47.5</v>
      </c>
      <c r="O14" s="30">
        <f t="shared" si="1"/>
        <v>0.49406264928683546</v>
      </c>
      <c r="P14" s="30">
        <f t="shared" si="2"/>
        <v>8.1579939977368315E-2</v>
      </c>
      <c r="Q14" s="30">
        <f t="shared" si="3"/>
        <v>0.60035964380941487</v>
      </c>
      <c r="R14" s="41">
        <f t="shared" si="4"/>
        <v>23.75</v>
      </c>
      <c r="S14" s="31">
        <f t="shared" si="5"/>
        <v>9.4914584595263971</v>
      </c>
      <c r="T14" s="39">
        <f t="shared" si="6"/>
        <v>1988.2975826363638</v>
      </c>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row>
    <row r="15" spans="1:59" ht="15" customHeight="1">
      <c r="A15" s="174" t="s">
        <v>127</v>
      </c>
      <c r="B15" s="80"/>
      <c r="C15" s="66"/>
      <c r="D15" s="66"/>
      <c r="E15" s="66"/>
      <c r="F15" s="66"/>
      <c r="G15" s="13"/>
      <c r="H15" s="15"/>
      <c r="I15" s="15"/>
      <c r="J15" s="15"/>
      <c r="K15" s="15"/>
      <c r="L15" s="15"/>
      <c r="M15" s="15"/>
      <c r="N15" s="15"/>
      <c r="O15" s="15"/>
      <c r="P15" s="15"/>
      <c r="Q15" s="15"/>
      <c r="R15" s="15"/>
      <c r="S15" s="15"/>
      <c r="T15" s="15"/>
      <c r="U15" s="15"/>
      <c r="V15" s="15"/>
      <c r="W15" s="15"/>
      <c r="X15" s="15"/>
      <c r="Y15" s="15"/>
      <c r="Z15" s="15"/>
      <c r="AA15" s="15"/>
      <c r="AB15" s="15"/>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row>
    <row r="16" spans="1:59" ht="15" customHeight="1">
      <c r="A16" s="149"/>
      <c r="B16" s="150"/>
      <c r="C16" s="150"/>
      <c r="D16" s="150"/>
      <c r="E16" s="211" t="s">
        <v>119</v>
      </c>
      <c r="F16" s="164"/>
      <c r="G16" s="150"/>
      <c r="H16" s="150"/>
      <c r="I16" s="150"/>
      <c r="J16" s="22" t="s">
        <v>117</v>
      </c>
      <c r="K16" s="150"/>
      <c r="L16" s="19"/>
      <c r="M16" s="22" t="s">
        <v>0</v>
      </c>
      <c r="N16" s="22" t="s">
        <v>28</v>
      </c>
      <c r="O16" s="22" t="s">
        <v>3</v>
      </c>
      <c r="P16" s="22" t="s">
        <v>29</v>
      </c>
      <c r="Q16" s="22" t="s">
        <v>60</v>
      </c>
      <c r="R16" s="22" t="s">
        <v>15</v>
      </c>
      <c r="S16" s="22" t="s">
        <v>30</v>
      </c>
      <c r="T16" s="61"/>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row>
    <row r="17" spans="1:59" ht="15" customHeight="1">
      <c r="A17" s="32" t="s">
        <v>0</v>
      </c>
      <c r="B17" s="32" t="s">
        <v>1</v>
      </c>
      <c r="C17" s="32" t="s">
        <v>2</v>
      </c>
      <c r="D17" s="32" t="s">
        <v>3</v>
      </c>
      <c r="E17" s="212"/>
      <c r="F17" s="32" t="s">
        <v>0</v>
      </c>
      <c r="G17" s="147" t="s">
        <v>41</v>
      </c>
      <c r="H17" s="33" t="s">
        <v>29</v>
      </c>
      <c r="I17" s="32" t="s">
        <v>4</v>
      </c>
      <c r="J17" s="32" t="s">
        <v>118</v>
      </c>
      <c r="K17" s="148"/>
      <c r="L17" s="19"/>
      <c r="M17" s="32" t="s">
        <v>55</v>
      </c>
      <c r="N17" s="32" t="s">
        <v>54</v>
      </c>
      <c r="O17" s="32" t="s">
        <v>57</v>
      </c>
      <c r="P17" s="32" t="s">
        <v>58</v>
      </c>
      <c r="Q17" s="32" t="s">
        <v>59</v>
      </c>
      <c r="R17" s="32" t="s">
        <v>65</v>
      </c>
      <c r="S17" s="32" t="s">
        <v>61</v>
      </c>
      <c r="T17" s="32" t="s">
        <v>5</v>
      </c>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row>
    <row r="18" spans="1:59" ht="15" customHeight="1">
      <c r="A18" s="167" t="s">
        <v>55</v>
      </c>
      <c r="B18" s="167" t="s">
        <v>79</v>
      </c>
      <c r="C18" s="167" t="s">
        <v>56</v>
      </c>
      <c r="D18" s="167" t="s">
        <v>56</v>
      </c>
      <c r="E18" s="213"/>
      <c r="F18" s="171" t="s">
        <v>16</v>
      </c>
      <c r="G18" s="168" t="s">
        <v>40</v>
      </c>
      <c r="H18" s="32" t="s">
        <v>42</v>
      </c>
      <c r="I18" s="33" t="s">
        <v>62</v>
      </c>
      <c r="J18" s="136" t="str">
        <f>J5</f>
        <v>30q30</v>
      </c>
      <c r="K18" s="37" t="s">
        <v>5</v>
      </c>
      <c r="L18" s="20"/>
      <c r="M18" s="72"/>
      <c r="N18" s="34" t="s">
        <v>45</v>
      </c>
      <c r="O18" s="167" t="s">
        <v>33</v>
      </c>
      <c r="P18" s="34" t="s">
        <v>50</v>
      </c>
      <c r="Q18" s="167" t="s">
        <v>34</v>
      </c>
      <c r="R18" s="167" t="s">
        <v>51</v>
      </c>
      <c r="S18" s="34" t="s">
        <v>52</v>
      </c>
      <c r="T18" s="72"/>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row>
    <row r="19" spans="1:59" ht="15" customHeight="1">
      <c r="A19" s="26" t="s">
        <v>63</v>
      </c>
      <c r="B19" s="179">
        <v>1391310</v>
      </c>
      <c r="C19" s="179">
        <v>1379420</v>
      </c>
      <c r="D19" s="27">
        <f>C19/B19</f>
        <v>0.99145409721773003</v>
      </c>
      <c r="E19" s="134">
        <f t="shared" ref="E19:E27" si="11">MBAR</f>
        <v>28.280746395250212</v>
      </c>
      <c r="F19" s="169">
        <v>10</v>
      </c>
      <c r="G19" s="49">
        <f>'Model data'!J4+'Model data'!K4*E19+'Model data'!L4*D19</f>
        <v>0.99111813368981005</v>
      </c>
      <c r="H19" s="49">
        <f>'Model data'!D28</f>
        <v>0.83350486950461589</v>
      </c>
      <c r="I19" s="51">
        <f>-0.5*LN(1+(G19/H19-1/'Model data'!$D$26)/(1-G19))</f>
        <v>-0.74502141873702044</v>
      </c>
      <c r="J19" s="182">
        <f>1-(1+EXP(2*(I19+IF(Introduction!D$11="45q15",'Model data'!$C$24,'Model data'!$C$27))))/(1+EXP(2*(I19+'Model data'!$C$33)))</f>
        <v>7.3252013805763072E-2</v>
      </c>
      <c r="K19" s="183">
        <f>T19</f>
        <v>1994.2241500931252</v>
      </c>
      <c r="L19" s="21"/>
      <c r="M19" s="26" t="s">
        <v>63</v>
      </c>
      <c r="N19" s="40">
        <f>7.5</f>
        <v>7.5</v>
      </c>
      <c r="O19" s="27">
        <f t="shared" ref="O19:O27" si="12">D19</f>
        <v>0.99145409721773003</v>
      </c>
      <c r="P19" s="27">
        <f t="shared" ref="P19:P27" si="13">(1-(MBAR+N19)/80)/(1-MBAR/80)</f>
        <v>0.85498630631221606</v>
      </c>
      <c r="Q19" s="27">
        <f t="shared" ref="Q19:Q27" si="14">LN(O19/P19)/3</f>
        <v>4.9362399262639411E-2</v>
      </c>
      <c r="R19" s="40">
        <f t="shared" ref="R19:R27" si="15">N19/2</f>
        <v>3.75</v>
      </c>
      <c r="S19" s="28">
        <f t="shared" ref="S19:S27" si="16">R19*(1-Q19)</f>
        <v>3.5648910027651022</v>
      </c>
      <c r="T19" s="38">
        <f t="shared" ref="T19:T27" si="17">Date_of_survey-S19</f>
        <v>1994.2241500931252</v>
      </c>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row>
    <row r="20" spans="1:59" ht="15" customHeight="1">
      <c r="A20" s="26" t="s">
        <v>7</v>
      </c>
      <c r="B20" s="180">
        <v>1172300</v>
      </c>
      <c r="C20" s="180">
        <v>1150030</v>
      </c>
      <c r="D20" s="27">
        <f t="shared" ref="D20:D27" si="18">C20/B20</f>
        <v>0.98100315618868894</v>
      </c>
      <c r="E20" s="135">
        <f t="shared" si="11"/>
        <v>28.280746395250212</v>
      </c>
      <c r="F20" s="170">
        <v>15</v>
      </c>
      <c r="G20" s="50">
        <f>'Model data'!J5+'Model data'!K5*E20+'Model data'!L5*D20</f>
        <v>0.98215306762613419</v>
      </c>
      <c r="H20" s="50">
        <f>'Model data'!D29</f>
        <v>0.81376319977144118</v>
      </c>
      <c r="I20" s="52">
        <f>-0.5*LN(1+(G20/H20-1/'Model data'!$D$26)/(1-G20))</f>
        <v>-0.65547582614589384</v>
      </c>
      <c r="J20" s="184">
        <f>1-(1+EXP(2*(I20+IF(Introduction!D$11="45q15",'Model data'!$C$24,'Model data'!$C$27))))/(1+EXP(2*(I20+'Model data'!$C$33)))</f>
        <v>8.5787907851121448E-2</v>
      </c>
      <c r="K20" s="185">
        <f>T20</f>
        <v>1992.0754634513714</v>
      </c>
      <c r="L20" s="21"/>
      <c r="M20" s="26" t="s">
        <v>7</v>
      </c>
      <c r="N20" s="40">
        <f>N19+5</f>
        <v>12.5</v>
      </c>
      <c r="O20" s="27">
        <f t="shared" si="12"/>
        <v>0.98100315618868894</v>
      </c>
      <c r="P20" s="27">
        <f t="shared" si="13"/>
        <v>0.75831051052036014</v>
      </c>
      <c r="Q20" s="27">
        <f t="shared" si="14"/>
        <v>8.5827576876991274E-2</v>
      </c>
      <c r="R20" s="40">
        <f t="shared" si="15"/>
        <v>6.25</v>
      </c>
      <c r="S20" s="28">
        <f t="shared" si="16"/>
        <v>5.7135776445188045</v>
      </c>
      <c r="T20" s="38">
        <f t="shared" si="17"/>
        <v>1992.0754634513714</v>
      </c>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row>
    <row r="21" spans="1:59" ht="15" customHeight="1">
      <c r="A21" s="26" t="s">
        <v>8</v>
      </c>
      <c r="B21" s="179">
        <v>1076960</v>
      </c>
      <c r="C21" s="179">
        <v>1040390</v>
      </c>
      <c r="D21" s="27">
        <f t="shared" si="18"/>
        <v>0.96604330708661412</v>
      </c>
      <c r="E21" s="135">
        <f t="shared" si="11"/>
        <v>28.280746395250212</v>
      </c>
      <c r="F21" s="170">
        <v>20</v>
      </c>
      <c r="G21" s="50">
        <f>'Model data'!J6+'Model data'!K6*E21+'Model data'!L6*D21</f>
        <v>0.97066495729899205</v>
      </c>
      <c r="H21" s="50">
        <f>'Model data'!D30</f>
        <v>0.78872756141577427</v>
      </c>
      <c r="I21" s="52">
        <f>-0.5*LN(1+(G21/H21-1/'Model data'!$D$26)/(1-G21))</f>
        <v>-0.62034038238986067</v>
      </c>
      <c r="J21" s="184">
        <f>1-(1+EXP(2*(I21+IF(Introduction!D$11="45q15",'Model data'!$C$24,'Model data'!$C$27))))/(1+EXP(2*(I21+'Model data'!$C$33)))</f>
        <v>9.1187132007241489E-2</v>
      </c>
      <c r="K21" s="185">
        <f>T21</f>
        <v>1990.1429849956785</v>
      </c>
      <c r="L21" s="21"/>
      <c r="M21" s="26" t="s">
        <v>8</v>
      </c>
      <c r="N21" s="40">
        <f t="shared" ref="N21:N27" si="19">N20+5</f>
        <v>17.5</v>
      </c>
      <c r="O21" s="27">
        <f t="shared" si="12"/>
        <v>0.96604330708661412</v>
      </c>
      <c r="P21" s="27">
        <f t="shared" si="13"/>
        <v>0.66163471472850421</v>
      </c>
      <c r="Q21" s="27">
        <f t="shared" si="14"/>
        <v>0.12616501711863773</v>
      </c>
      <c r="R21" s="40">
        <f t="shared" si="15"/>
        <v>8.75</v>
      </c>
      <c r="S21" s="28">
        <f t="shared" si="16"/>
        <v>7.6460561002119203</v>
      </c>
      <c r="T21" s="38">
        <f t="shared" si="17"/>
        <v>1990.1429849956785</v>
      </c>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row>
    <row r="22" spans="1:59" ht="15" customHeight="1">
      <c r="A22" s="26" t="s">
        <v>9</v>
      </c>
      <c r="B22" s="180">
        <v>913630</v>
      </c>
      <c r="C22" s="180">
        <v>859880</v>
      </c>
      <c r="D22" s="27">
        <f t="shared" si="18"/>
        <v>0.94116874445891663</v>
      </c>
      <c r="E22" s="135">
        <f t="shared" si="11"/>
        <v>28.280746395250212</v>
      </c>
      <c r="F22" s="170">
        <v>25</v>
      </c>
      <c r="G22" s="50">
        <f>'Model data'!J7+'Model data'!K7*E22+'Model data'!L7*D22</f>
        <v>0.95122312381213581</v>
      </c>
      <c r="H22" s="50">
        <f>'Model data'!D31</f>
        <v>0.75558816659335271</v>
      </c>
      <c r="I22" s="52">
        <f>-0.5*LN(1+(G22/H22-1/'Model data'!$D$26)/(1-G22))</f>
        <v>-0.55877043089309453</v>
      </c>
      <c r="J22" s="184">
        <f>1-(1+EXP(2*(I22+IF(Introduction!D$11="45q15",'Model data'!$C$24,'Model data'!$C$27))))/(1+EXP(2*(I22+'Model data'!$C$33)))</f>
        <v>0.10133758918135816</v>
      </c>
      <c r="K22" s="185">
        <f>T22</f>
        <v>1988.4529264563776</v>
      </c>
      <c r="L22" s="21"/>
      <c r="M22" s="26" t="s">
        <v>9</v>
      </c>
      <c r="N22" s="40">
        <f t="shared" si="19"/>
        <v>22.5</v>
      </c>
      <c r="O22" s="27">
        <f t="shared" si="12"/>
        <v>0.94116874445891663</v>
      </c>
      <c r="P22" s="27">
        <f t="shared" si="13"/>
        <v>0.56495891893664818</v>
      </c>
      <c r="Q22" s="27">
        <f t="shared" si="14"/>
        <v>0.17012314315443181</v>
      </c>
      <c r="R22" s="40">
        <f t="shared" si="15"/>
        <v>11.25</v>
      </c>
      <c r="S22" s="28">
        <f t="shared" si="16"/>
        <v>9.3361146395126422</v>
      </c>
      <c r="T22" s="38">
        <f t="shared" si="17"/>
        <v>1988.4529264563776</v>
      </c>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row>
    <row r="23" spans="1:59" ht="15" customHeight="1">
      <c r="A23" s="26" t="s">
        <v>10</v>
      </c>
      <c r="B23" s="179">
        <v>797870</v>
      </c>
      <c r="C23" s="179">
        <v>719150</v>
      </c>
      <c r="D23" s="27">
        <f t="shared" si="18"/>
        <v>0.90133731058944444</v>
      </c>
      <c r="E23" s="135">
        <f t="shared" si="11"/>
        <v>28.280746395250212</v>
      </c>
      <c r="F23" s="170">
        <v>30</v>
      </c>
      <c r="G23" s="50">
        <f>'Model data'!J8+'Model data'!K8*E23+'Model data'!L8*D23</f>
        <v>0.92026120328931771</v>
      </c>
      <c r="H23" s="50">
        <f>'Model data'!D32</f>
        <v>0.71027415735971011</v>
      </c>
      <c r="I23" s="52">
        <f>-0.5*LN(1+(G23/H23-1/'Model data'!$D$26)/(1-G23))</f>
        <v>-0.50014077980847371</v>
      </c>
      <c r="J23" s="184">
        <f>1-(1+EXP(2*(I23+IF(Introduction!D$11="45q15",'Model data'!$C$24,'Model data'!$C$27))))/(1+EXP(2*(I23+'Model data'!$C$33)))</f>
        <v>0.11185017657542173</v>
      </c>
      <c r="K23" s="185">
        <f t="shared" ref="K23:K24" si="20">T23</f>
        <v>1987.0402374815133</v>
      </c>
      <c r="L23" s="21"/>
      <c r="M23" s="26" t="s">
        <v>10</v>
      </c>
      <c r="N23" s="40">
        <f t="shared" si="19"/>
        <v>27.5</v>
      </c>
      <c r="O23" s="27">
        <f t="shared" si="12"/>
        <v>0.90133731058944444</v>
      </c>
      <c r="P23" s="27">
        <f t="shared" si="13"/>
        <v>0.46828312314479226</v>
      </c>
      <c r="Q23" s="27">
        <f t="shared" si="14"/>
        <v>0.21826882804530823</v>
      </c>
      <c r="R23" s="40">
        <f t="shared" si="15"/>
        <v>13.75</v>
      </c>
      <c r="S23" s="28">
        <f t="shared" si="16"/>
        <v>10.748803614377012</v>
      </c>
      <c r="T23" s="38">
        <f t="shared" si="17"/>
        <v>1987.0402374815133</v>
      </c>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row>
    <row r="24" spans="1:59" ht="15" customHeight="1">
      <c r="A24" s="26" t="s">
        <v>11</v>
      </c>
      <c r="B24" s="180">
        <v>618150</v>
      </c>
      <c r="C24" s="180">
        <v>518830</v>
      </c>
      <c r="D24" s="27">
        <f t="shared" si="18"/>
        <v>0.83932702418506833</v>
      </c>
      <c r="E24" s="135">
        <f t="shared" si="11"/>
        <v>28.280746395250212</v>
      </c>
      <c r="F24" s="170">
        <v>35</v>
      </c>
      <c r="G24" s="50">
        <f>'Model data'!J9+'Model data'!K9*E24+'Model data'!L9*D24</f>
        <v>0.87079465721097127</v>
      </c>
      <c r="H24" s="50">
        <f>'Model data'!D33</f>
        <v>0.64857401363075629</v>
      </c>
      <c r="I24" s="52">
        <f>-0.5*LN(1+(G24/H24-1/'Model data'!$D$26)/(1-G24))</f>
        <v>-0.44282716783117348</v>
      </c>
      <c r="J24" s="184">
        <f>1-(1+EXP(2*(I24+IF(Introduction!D$11="45q15",'Model data'!$C$24,'Model data'!$C$27))))/(1+EXP(2*(I24+'Model data'!$C$33)))</f>
        <v>0.12295358050706084</v>
      </c>
      <c r="K24" s="185">
        <f t="shared" si="20"/>
        <v>1985.952338967114</v>
      </c>
      <c r="L24" s="21"/>
      <c r="M24" s="26" t="s">
        <v>11</v>
      </c>
      <c r="N24" s="40">
        <f t="shared" si="19"/>
        <v>32.5</v>
      </c>
      <c r="O24" s="27">
        <f t="shared" si="12"/>
        <v>0.83932702418506833</v>
      </c>
      <c r="P24" s="27">
        <f t="shared" si="13"/>
        <v>0.37160732735293633</v>
      </c>
      <c r="Q24" s="27">
        <f t="shared" si="14"/>
        <v>0.27158756130607375</v>
      </c>
      <c r="R24" s="40">
        <f t="shared" si="15"/>
        <v>16.25</v>
      </c>
      <c r="S24" s="28">
        <f t="shared" si="16"/>
        <v>11.836702128776302</v>
      </c>
      <c r="T24" s="38">
        <f t="shared" si="17"/>
        <v>1985.952338967114</v>
      </c>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row>
    <row r="25" spans="1:59" ht="15" customHeight="1">
      <c r="A25" s="26" t="s">
        <v>12</v>
      </c>
      <c r="B25" s="179">
        <v>419570</v>
      </c>
      <c r="C25" s="179">
        <v>318580</v>
      </c>
      <c r="D25" s="27">
        <f t="shared" si="18"/>
        <v>0.75930118931286794</v>
      </c>
      <c r="E25" s="135">
        <f t="shared" si="11"/>
        <v>28.280746395250212</v>
      </c>
      <c r="F25" s="170">
        <v>40</v>
      </c>
      <c r="G25" s="50">
        <f>'Model data'!J10+'Model data'!K10*E25+'Model data'!L10*D25</f>
        <v>0.80601596666286812</v>
      </c>
      <c r="H25" s="50">
        <f>'Model data'!D34</f>
        <v>0.56571082144915019</v>
      </c>
      <c r="I25" s="52">
        <f>-0.5*LN(1+(G25/H25-1/'Model data'!$D$26)/(1-G25))</f>
        <v>-0.43194372194024278</v>
      </c>
      <c r="J25" s="184">
        <f>1-(1+EXP(2*(I25+IF(Introduction!D$11="45q15",'Model data'!$C$24,'Model data'!$C$27))))/(1+EXP(2*(I25+'Model data'!$C$33)))</f>
        <v>0.12515617019766956</v>
      </c>
      <c r="K25" s="192">
        <f>IF(T25&gt;=T24,NA(),T25)</f>
        <v>1985.3882687960192</v>
      </c>
      <c r="L25" s="21"/>
      <c r="M25" s="26" t="s">
        <v>12</v>
      </c>
      <c r="N25" s="40">
        <f t="shared" si="19"/>
        <v>37.5</v>
      </c>
      <c r="O25" s="27">
        <f t="shared" si="12"/>
        <v>0.75930118931286794</v>
      </c>
      <c r="P25" s="27">
        <f t="shared" si="13"/>
        <v>0.27493153156108019</v>
      </c>
      <c r="Q25" s="27">
        <f t="shared" si="14"/>
        <v>0.33862547734021492</v>
      </c>
      <c r="R25" s="40">
        <f t="shared" si="15"/>
        <v>18.75</v>
      </c>
      <c r="S25" s="28">
        <f t="shared" si="16"/>
        <v>12.400772299870971</v>
      </c>
      <c r="T25" s="38">
        <f t="shared" si="17"/>
        <v>1985.3882687960192</v>
      </c>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row>
    <row r="26" spans="1:59" ht="15" customHeight="1">
      <c r="A26" s="26" t="s">
        <v>13</v>
      </c>
      <c r="B26" s="180">
        <v>414830</v>
      </c>
      <c r="C26" s="180">
        <v>262700</v>
      </c>
      <c r="D26" s="27">
        <f t="shared" si="18"/>
        <v>0.6332714605983174</v>
      </c>
      <c r="E26" s="135">
        <f t="shared" si="11"/>
        <v>28.280746395250212</v>
      </c>
      <c r="F26" s="170">
        <v>45</v>
      </c>
      <c r="G26" s="50">
        <f>'Model data'!J11+'Model data'!K11*E26+'Model data'!L11*D26</f>
        <v>0.68841197954742261</v>
      </c>
      <c r="H26" s="50">
        <f>'Model data'!D35</f>
        <v>0.45955087928190458</v>
      </c>
      <c r="I26" s="52">
        <f>-0.5*LN(1+(G26/H26-1/'Model data'!$D$26)/(1-G26))</f>
        <v>-0.36843762085570347</v>
      </c>
      <c r="J26" s="184">
        <f>1-(1+EXP(2*(I26+IF(Introduction!D$11="45q15",'Model data'!$C$24,'Model data'!$C$27))))/(1+EXP(2*(I26+'Model data'!$C$33)))</f>
        <v>0.13861571102770476</v>
      </c>
      <c r="K26" s="192" t="e">
        <f t="shared" ref="K26:K27" si="21">IF(T26&gt;=T25,NA(),T26)</f>
        <v>#N/A</v>
      </c>
      <c r="L26" s="21"/>
      <c r="M26" s="26" t="s">
        <v>13</v>
      </c>
      <c r="N26" s="40">
        <f t="shared" si="19"/>
        <v>42.5</v>
      </c>
      <c r="O26" s="27">
        <f t="shared" si="12"/>
        <v>0.6332714605983174</v>
      </c>
      <c r="P26" s="27">
        <f t="shared" si="13"/>
        <v>0.17825573576922427</v>
      </c>
      <c r="Q26" s="27">
        <f t="shared" si="14"/>
        <v>0.42255998030559266</v>
      </c>
      <c r="R26" s="40">
        <f t="shared" si="15"/>
        <v>21.25</v>
      </c>
      <c r="S26" s="28">
        <f t="shared" si="16"/>
        <v>12.270600418506158</v>
      </c>
      <c r="T26" s="38">
        <f t="shared" si="17"/>
        <v>1985.5184406773842</v>
      </c>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row>
    <row r="27" spans="1:59" ht="15" customHeight="1">
      <c r="A27" s="29" t="s">
        <v>14</v>
      </c>
      <c r="B27" s="181">
        <v>310780</v>
      </c>
      <c r="C27" s="181">
        <v>153970</v>
      </c>
      <c r="D27" s="30">
        <f t="shared" si="18"/>
        <v>0.49543085140613941</v>
      </c>
      <c r="E27" s="39">
        <f t="shared" si="11"/>
        <v>28.280746395250212</v>
      </c>
      <c r="F27" s="172">
        <v>50</v>
      </c>
      <c r="G27" s="30">
        <f>'Model data'!J12+'Model data'!K12*E27+'Model data'!L12*D27</f>
        <v>0.54268325768684789</v>
      </c>
      <c r="H27" s="30">
        <f>'Model data'!D36</f>
        <v>0.33555954367971813</v>
      </c>
      <c r="I27" s="53">
        <f>-0.5*LN(1+(G27/H27-1/'Model data'!$D$26)/(1-G27))</f>
        <v>-0.34731898424921503</v>
      </c>
      <c r="J27" s="186">
        <f>1-(1+EXP(2*(I27+IF(Introduction!D$11="45q15",'Model data'!$C$24,'Model data'!$C$27))))/(1+EXP(2*(I27+'Model data'!$C$33)))</f>
        <v>0.1433225716969152</v>
      </c>
      <c r="K27" s="193" t="e">
        <f t="shared" si="21"/>
        <v>#N/A</v>
      </c>
      <c r="L27" s="21"/>
      <c r="M27" s="29" t="s">
        <v>14</v>
      </c>
      <c r="N27" s="41">
        <f t="shared" si="19"/>
        <v>47.5</v>
      </c>
      <c r="O27" s="30">
        <f t="shared" si="12"/>
        <v>0.49543085140613941</v>
      </c>
      <c r="P27" s="30">
        <f t="shared" si="13"/>
        <v>8.1579939977368315E-2</v>
      </c>
      <c r="Q27" s="30">
        <f t="shared" si="14"/>
        <v>0.60128146424267759</v>
      </c>
      <c r="R27" s="41">
        <f t="shared" si="15"/>
        <v>23.75</v>
      </c>
      <c r="S27" s="31">
        <f t="shared" si="16"/>
        <v>9.4695652242364066</v>
      </c>
      <c r="T27" s="39">
        <f t="shared" si="17"/>
        <v>1988.3194758716538</v>
      </c>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row>
    <row r="28" spans="1:59" ht="15" customHeight="1">
      <c r="A28" s="174" t="s">
        <v>128</v>
      </c>
      <c r="B28" s="80"/>
      <c r="C28" s="66"/>
      <c r="D28" s="66"/>
      <c r="E28" s="66"/>
      <c r="F28" s="66"/>
      <c r="G28" s="13"/>
      <c r="H28" s="15"/>
      <c r="I28" s="15"/>
      <c r="J28" s="15"/>
      <c r="K28" s="15"/>
      <c r="L28" s="15"/>
      <c r="M28" s="15"/>
      <c r="N28" s="15"/>
      <c r="O28" s="15"/>
      <c r="P28" s="15"/>
      <c r="Q28" s="15"/>
      <c r="R28" s="15"/>
      <c r="S28" s="15"/>
      <c r="T28" s="15"/>
      <c r="U28" s="15"/>
      <c r="V28" s="15"/>
      <c r="W28" s="15"/>
      <c r="X28" s="15"/>
      <c r="Y28" s="15"/>
      <c r="Z28" s="15"/>
      <c r="AA28" s="15"/>
      <c r="AB28" s="15"/>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row>
    <row r="29" spans="1:59" ht="15" customHeight="1">
      <c r="A29" s="149"/>
      <c r="B29" s="150"/>
      <c r="C29" s="150"/>
      <c r="D29" s="150"/>
      <c r="E29" s="211" t="s">
        <v>119</v>
      </c>
      <c r="F29" s="164"/>
      <c r="G29" s="150"/>
      <c r="H29" s="150"/>
      <c r="I29" s="150"/>
      <c r="J29" s="22" t="s">
        <v>117</v>
      </c>
      <c r="K29" s="150"/>
      <c r="L29" s="19"/>
      <c r="M29" s="22" t="s">
        <v>0</v>
      </c>
      <c r="N29" s="22" t="s">
        <v>28</v>
      </c>
      <c r="O29" s="22" t="s">
        <v>3</v>
      </c>
      <c r="P29" s="22" t="s">
        <v>29</v>
      </c>
      <c r="Q29" s="22" t="s">
        <v>60</v>
      </c>
      <c r="R29" s="22" t="s">
        <v>15</v>
      </c>
      <c r="S29" s="22" t="s">
        <v>30</v>
      </c>
      <c r="T29" s="61"/>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row>
    <row r="30" spans="1:59" ht="15" customHeight="1">
      <c r="A30" s="32" t="s">
        <v>0</v>
      </c>
      <c r="B30" s="32" t="s">
        <v>1</v>
      </c>
      <c r="C30" s="32" t="s">
        <v>2</v>
      </c>
      <c r="D30" s="32" t="s">
        <v>3</v>
      </c>
      <c r="E30" s="212"/>
      <c r="F30" s="32" t="s">
        <v>0</v>
      </c>
      <c r="G30" s="147" t="s">
        <v>41</v>
      </c>
      <c r="H30" s="33" t="s">
        <v>29</v>
      </c>
      <c r="I30" s="32" t="s">
        <v>4</v>
      </c>
      <c r="J30" s="32" t="s">
        <v>118</v>
      </c>
      <c r="K30" s="148"/>
      <c r="L30" s="19"/>
      <c r="M30" s="32" t="s">
        <v>55</v>
      </c>
      <c r="N30" s="32" t="s">
        <v>54</v>
      </c>
      <c r="O30" s="32" t="s">
        <v>57</v>
      </c>
      <c r="P30" s="32" t="s">
        <v>58</v>
      </c>
      <c r="Q30" s="32" t="s">
        <v>59</v>
      </c>
      <c r="R30" s="32" t="s">
        <v>65</v>
      </c>
      <c r="S30" s="32" t="s">
        <v>61</v>
      </c>
      <c r="T30" s="32" t="s">
        <v>5</v>
      </c>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row>
    <row r="31" spans="1:59" ht="15" customHeight="1">
      <c r="A31" s="167" t="s">
        <v>55</v>
      </c>
      <c r="B31" s="167" t="s">
        <v>79</v>
      </c>
      <c r="C31" s="167" t="s">
        <v>56</v>
      </c>
      <c r="D31" s="167" t="s">
        <v>56</v>
      </c>
      <c r="E31" s="213"/>
      <c r="F31" s="171" t="s">
        <v>16</v>
      </c>
      <c r="G31" s="24" t="s">
        <v>40</v>
      </c>
      <c r="H31" s="194" t="s">
        <v>42</v>
      </c>
      <c r="I31" s="198" t="s">
        <v>62</v>
      </c>
      <c r="J31" s="136" t="str">
        <f>J18</f>
        <v>30q30</v>
      </c>
      <c r="K31" s="37" t="s">
        <v>5</v>
      </c>
      <c r="L31" s="20"/>
      <c r="M31" s="72"/>
      <c r="N31" s="34" t="s">
        <v>45</v>
      </c>
      <c r="O31" s="167" t="s">
        <v>33</v>
      </c>
      <c r="P31" s="34" t="s">
        <v>50</v>
      </c>
      <c r="Q31" s="167" t="s">
        <v>34</v>
      </c>
      <c r="R31" s="167" t="s">
        <v>51</v>
      </c>
      <c r="S31" s="34" t="s">
        <v>52</v>
      </c>
      <c r="T31" s="72"/>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row>
    <row r="32" spans="1:59" ht="15" customHeight="1">
      <c r="A32" s="26" t="s">
        <v>63</v>
      </c>
      <c r="B32" s="203">
        <f>B6+B19</f>
        <v>2834210</v>
      </c>
      <c r="C32" s="203">
        <f>C6+C19</f>
        <v>2810420</v>
      </c>
      <c r="D32" s="27">
        <f>C32/B32</f>
        <v>0.99160612657495384</v>
      </c>
      <c r="E32" s="134">
        <f t="shared" ref="E32:E40" si="22">MBAR</f>
        <v>28.280746395250212</v>
      </c>
      <c r="F32" s="169">
        <v>10</v>
      </c>
      <c r="G32" s="50">
        <f>'Model data'!J4+'Model data'!K4*E32+'Model data'!L4*D32</f>
        <v>0.99130906735954727</v>
      </c>
      <c r="H32" s="50">
        <f>'Model data'!D28</f>
        <v>0.83350486950461589</v>
      </c>
      <c r="I32" s="52">
        <f>-0.5*LN(1+(G32/H32-1/'Model data'!$D$26)/(1-G32))</f>
        <v>-0.75637077389794505</v>
      </c>
      <c r="J32" s="182">
        <f>1-(1+EXP(2*(I32+IF(Introduction!D$11="45q15",'Model data'!$C$24,'Model data'!$C$27))))/(1+EXP(2*(I32+'Model data'!$C$33)))</f>
        <v>7.1783334279944322E-2</v>
      </c>
      <c r="K32" s="183">
        <f>T32</f>
        <v>1994.2243417531611</v>
      </c>
      <c r="L32" s="21"/>
      <c r="M32" s="26" t="s">
        <v>63</v>
      </c>
      <c r="N32" s="40">
        <f>7.5</f>
        <v>7.5</v>
      </c>
      <c r="O32" s="27">
        <f t="shared" ref="O32:O40" si="23">D32</f>
        <v>0.99160612657495384</v>
      </c>
      <c r="P32" s="27">
        <f t="shared" ref="P32:P40" si="24">(1-(MBAR+N32)/80)/(1-MBAR/80)</f>
        <v>0.85498630631221606</v>
      </c>
      <c r="Q32" s="27">
        <f t="shared" ref="Q32:Q40" si="25">LN(O32/P32)/3</f>
        <v>4.9413508605562234E-2</v>
      </c>
      <c r="R32" s="40">
        <f t="shared" ref="R32:R40" si="26">N32/2</f>
        <v>3.75</v>
      </c>
      <c r="S32" s="28">
        <f t="shared" ref="S32:S40" si="27">R32*(1-Q32)</f>
        <v>3.5646993427291416</v>
      </c>
      <c r="T32" s="38">
        <f t="shared" ref="T32:T40" si="28">Date_of_survey-S32</f>
        <v>1994.2243417531611</v>
      </c>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row>
    <row r="33" spans="1:59" ht="15" customHeight="1">
      <c r="A33" s="26" t="s">
        <v>7</v>
      </c>
      <c r="B33" s="204">
        <f t="shared" ref="B33:C33" si="29">B7+B20</f>
        <v>2391580</v>
      </c>
      <c r="C33" s="204">
        <f t="shared" si="29"/>
        <v>2347190</v>
      </c>
      <c r="D33" s="27">
        <f t="shared" ref="D33:D40" si="30">C33/B33</f>
        <v>0.98143904866239051</v>
      </c>
      <c r="E33" s="135">
        <f t="shared" si="22"/>
        <v>28.280746395250212</v>
      </c>
      <c r="F33" s="170">
        <v>15</v>
      </c>
      <c r="G33" s="50">
        <f>'Model data'!J5+'Model data'!K5*E33+'Model data'!L5*D33</f>
        <v>0.98263791082463248</v>
      </c>
      <c r="H33" s="50">
        <f>'Model data'!D29</f>
        <v>0.81376319977144118</v>
      </c>
      <c r="I33" s="52">
        <f>-0.5*LN(1+(G33/H33-1/'Model data'!$D$26)/(1-G33))</f>
        <v>-0.67008440519928048</v>
      </c>
      <c r="J33" s="184">
        <f>1-(1+EXP(2*(I33+IF(Introduction!D$11="45q15",'Model data'!$C$24,'Model data'!$C$27))))/(1+EXP(2*(I33+'Model data'!$C$33)))</f>
        <v>8.3624572274788367E-2</v>
      </c>
      <c r="K33" s="185">
        <f>T33</f>
        <v>1992.0763889403697</v>
      </c>
      <c r="L33" s="21"/>
      <c r="M33" s="26" t="s">
        <v>7</v>
      </c>
      <c r="N33" s="40">
        <f>N32+5</f>
        <v>12.5</v>
      </c>
      <c r="O33" s="27">
        <f t="shared" si="23"/>
        <v>0.98143904866239051</v>
      </c>
      <c r="P33" s="27">
        <f t="shared" si="24"/>
        <v>0.75831051052036014</v>
      </c>
      <c r="Q33" s="27">
        <f t="shared" si="25"/>
        <v>8.5975655116711347E-2</v>
      </c>
      <c r="R33" s="40">
        <f t="shared" si="26"/>
        <v>6.25</v>
      </c>
      <c r="S33" s="28">
        <f t="shared" si="27"/>
        <v>5.7126521555205541</v>
      </c>
      <c r="T33" s="38">
        <f t="shared" si="28"/>
        <v>1992.0763889403697</v>
      </c>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row>
    <row r="34" spans="1:59" ht="15" customHeight="1">
      <c r="A34" s="26" t="s">
        <v>8</v>
      </c>
      <c r="B34" s="204">
        <f t="shared" ref="B34:C34" si="31">B8+B21</f>
        <v>2181840</v>
      </c>
      <c r="C34" s="204">
        <f t="shared" si="31"/>
        <v>2108280</v>
      </c>
      <c r="D34" s="27">
        <f t="shared" si="30"/>
        <v>0.96628533714662856</v>
      </c>
      <c r="E34" s="135">
        <f t="shared" si="22"/>
        <v>28.280746395250212</v>
      </c>
      <c r="F34" s="170">
        <v>20</v>
      </c>
      <c r="G34" s="50">
        <f>'Model data'!J6+'Model data'!K6*E34+'Model data'!L6*D34</f>
        <v>0.97091969393715738</v>
      </c>
      <c r="H34" s="50">
        <f>'Model data'!D30</f>
        <v>0.78872756141577427</v>
      </c>
      <c r="I34" s="52">
        <f>-0.5*LN(1+(G34/H34-1/'Model data'!$D$26)/(1-G34))</f>
        <v>-0.62503741276996327</v>
      </c>
      <c r="J34" s="184">
        <f>1-(1+EXP(2*(I34+IF(Introduction!D$11="45q15",'Model data'!$C$24,'Model data'!$C$27))))/(1+EXP(2*(I34+'Model data'!$C$33)))</f>
        <v>9.0449091116223013E-2</v>
      </c>
      <c r="K34" s="185">
        <f>T34</f>
        <v>1990.143715638485</v>
      </c>
      <c r="L34" s="21"/>
      <c r="M34" s="26" t="s">
        <v>8</v>
      </c>
      <c r="N34" s="40">
        <f t="shared" ref="N34:N40" si="32">N33+5</f>
        <v>17.5</v>
      </c>
      <c r="O34" s="27">
        <f t="shared" si="23"/>
        <v>0.96628533714662856</v>
      </c>
      <c r="P34" s="27">
        <f t="shared" si="24"/>
        <v>0.66163471472850421</v>
      </c>
      <c r="Q34" s="27">
        <f t="shared" si="25"/>
        <v>0.12624851915369179</v>
      </c>
      <c r="R34" s="40">
        <f t="shared" si="26"/>
        <v>8.75</v>
      </c>
      <c r="S34" s="28">
        <f t="shared" si="27"/>
        <v>7.645325457405197</v>
      </c>
      <c r="T34" s="38">
        <f t="shared" si="28"/>
        <v>1990.143715638485</v>
      </c>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row>
    <row r="35" spans="1:59" ht="15" customHeight="1">
      <c r="A35" s="26" t="s">
        <v>9</v>
      </c>
      <c r="B35" s="204">
        <f t="shared" ref="B35:C35" si="33">B9+B22</f>
        <v>1827030</v>
      </c>
      <c r="C35" s="204">
        <f t="shared" si="33"/>
        <v>1719880</v>
      </c>
      <c r="D35" s="27">
        <f t="shared" si="30"/>
        <v>0.94135290608254929</v>
      </c>
      <c r="E35" s="135">
        <f t="shared" si="22"/>
        <v>28.280746395250212</v>
      </c>
      <c r="F35" s="170">
        <v>25</v>
      </c>
      <c r="G35" s="50">
        <f>'Model data'!J7+'Model data'!K7*E35+'Model data'!L7*D35</f>
        <v>0.95141220255111958</v>
      </c>
      <c r="H35" s="50">
        <f>'Model data'!D31</f>
        <v>0.75558816659335271</v>
      </c>
      <c r="I35" s="52">
        <f>-0.5*LN(1+(G35/H35-1/'Model data'!$D$26)/(1-G35))</f>
        <v>-0.56091742193185412</v>
      </c>
      <c r="J35" s="184">
        <f>1-(1+EXP(2*(I35+IF(Introduction!D$11="45q15",'Model data'!$C$24,'Model data'!$C$27))))/(1+EXP(2*(I35+'Model data'!$C$33)))</f>
        <v>0.10096851103420745</v>
      </c>
      <c r="K35" s="185">
        <f>T35</f>
        <v>1988.4536601595896</v>
      </c>
      <c r="L35" s="21"/>
      <c r="M35" s="26" t="s">
        <v>9</v>
      </c>
      <c r="N35" s="40">
        <f t="shared" si="32"/>
        <v>22.5</v>
      </c>
      <c r="O35" s="27">
        <f t="shared" si="23"/>
        <v>0.94135290608254929</v>
      </c>
      <c r="P35" s="27">
        <f t="shared" si="24"/>
        <v>0.56495891893664818</v>
      </c>
      <c r="Q35" s="27">
        <f t="shared" si="25"/>
        <v>0.17018836121772019</v>
      </c>
      <c r="R35" s="40">
        <f t="shared" si="26"/>
        <v>11.25</v>
      </c>
      <c r="S35" s="28">
        <f t="shared" si="27"/>
        <v>9.3353809363006484</v>
      </c>
      <c r="T35" s="38">
        <f t="shared" si="28"/>
        <v>1988.4536601595896</v>
      </c>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row>
    <row r="36" spans="1:59" ht="15" customHeight="1">
      <c r="A36" s="26" t="s">
        <v>10</v>
      </c>
      <c r="B36" s="204">
        <f t="shared" ref="B36:C36" si="34">B10+B23</f>
        <v>1615160</v>
      </c>
      <c r="C36" s="204">
        <f t="shared" si="34"/>
        <v>1455150</v>
      </c>
      <c r="D36" s="27">
        <f t="shared" si="30"/>
        <v>0.90093241536442215</v>
      </c>
      <c r="E36" s="135">
        <f t="shared" si="22"/>
        <v>28.280746395250212</v>
      </c>
      <c r="F36" s="170">
        <v>30</v>
      </c>
      <c r="G36" s="50">
        <f>'Model data'!J8+'Model data'!K8*E36+'Model data'!L8*D36</f>
        <v>0.91984744085886738</v>
      </c>
      <c r="H36" s="50">
        <f>'Model data'!D32</f>
        <v>0.71027415735971011</v>
      </c>
      <c r="I36" s="52">
        <f>-0.5*LN(1+(G36/H36-1/'Model data'!$D$26)/(1-G36))</f>
        <v>-0.49716362948572057</v>
      </c>
      <c r="J36" s="184">
        <f>1-(1+EXP(2*(I36+IF(Introduction!D$11="45q15",'Model data'!$C$24,'Model data'!$C$27))))/(1+EXP(2*(I36+'Model data'!$C$33)))</f>
        <v>0.11240660679619552</v>
      </c>
      <c r="K36" s="185">
        <f t="shared" ref="K36:K37" si="35">T36</f>
        <v>1987.0381781118354</v>
      </c>
      <c r="L36" s="21"/>
      <c r="M36" s="26" t="s">
        <v>10</v>
      </c>
      <c r="N36" s="40">
        <f t="shared" si="32"/>
        <v>27.5</v>
      </c>
      <c r="O36" s="27">
        <f t="shared" si="23"/>
        <v>0.90093241536442215</v>
      </c>
      <c r="P36" s="27">
        <f t="shared" si="24"/>
        <v>0.46828312314479226</v>
      </c>
      <c r="Q36" s="27">
        <f t="shared" si="25"/>
        <v>0.21811905570509249</v>
      </c>
      <c r="R36" s="40">
        <f t="shared" si="26"/>
        <v>13.75</v>
      </c>
      <c r="S36" s="28">
        <f t="shared" si="27"/>
        <v>10.750862984054978</v>
      </c>
      <c r="T36" s="38">
        <f t="shared" si="28"/>
        <v>1987.0381781118354</v>
      </c>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row>
    <row r="37" spans="1:59" ht="15" customHeight="1">
      <c r="A37" s="26" t="s">
        <v>11</v>
      </c>
      <c r="B37" s="204">
        <f t="shared" ref="B37:C37" si="36">B11+B24</f>
        <v>1235120</v>
      </c>
      <c r="C37" s="204">
        <f t="shared" si="36"/>
        <v>1035480</v>
      </c>
      <c r="D37" s="27">
        <f t="shared" si="30"/>
        <v>0.83836388367122228</v>
      </c>
      <c r="E37" s="135">
        <f t="shared" si="22"/>
        <v>28.280746395250212</v>
      </c>
      <c r="F37" s="170">
        <v>35</v>
      </c>
      <c r="G37" s="50">
        <f>'Model data'!J9+'Model data'!K9*E37+'Model data'!L9*D37</f>
        <v>0.86979491735759895</v>
      </c>
      <c r="H37" s="50">
        <f>'Model data'!D33</f>
        <v>0.64857401363075629</v>
      </c>
      <c r="I37" s="52">
        <f>-0.5*LN(1+(G37/H37-1/'Model data'!$D$26)/(1-G37))</f>
        <v>-0.43810790632583874</v>
      </c>
      <c r="J37" s="184">
        <f>1-(1+EXP(2*(I37+IF(Introduction!D$11="45q15",'Model data'!$C$24,'Model data'!$C$27))))/(1+EXP(2*(I37+'Model data'!$C$33)))</f>
        <v>0.12390494669590668</v>
      </c>
      <c r="K37" s="185">
        <f t="shared" si="35"/>
        <v>1985.9461196907678</v>
      </c>
      <c r="L37" s="21"/>
      <c r="M37" s="26" t="s">
        <v>11</v>
      </c>
      <c r="N37" s="40">
        <f t="shared" si="32"/>
        <v>32.5</v>
      </c>
      <c r="O37" s="27">
        <f t="shared" si="23"/>
        <v>0.83836388367122228</v>
      </c>
      <c r="P37" s="27">
        <f t="shared" si="24"/>
        <v>0.37160732735293633</v>
      </c>
      <c r="Q37" s="27">
        <f t="shared" si="25"/>
        <v>0.27120483660784117</v>
      </c>
      <c r="R37" s="40">
        <f t="shared" si="26"/>
        <v>16.25</v>
      </c>
      <c r="S37" s="28">
        <f t="shared" si="27"/>
        <v>11.84292140512258</v>
      </c>
      <c r="T37" s="38">
        <f t="shared" si="28"/>
        <v>1985.9461196907678</v>
      </c>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row>
    <row r="38" spans="1:59" ht="15" customHeight="1">
      <c r="A38" s="26" t="s">
        <v>12</v>
      </c>
      <c r="B38" s="204">
        <f t="shared" ref="B38:C38" si="37">B12+B25</f>
        <v>788170</v>
      </c>
      <c r="C38" s="204">
        <f t="shared" si="37"/>
        <v>601590</v>
      </c>
      <c r="D38" s="27">
        <f t="shared" si="30"/>
        <v>0.76327442049304084</v>
      </c>
      <c r="E38" s="135">
        <f t="shared" si="22"/>
        <v>28.280746395250212</v>
      </c>
      <c r="F38" s="170">
        <v>40</v>
      </c>
      <c r="G38" s="50">
        <f>'Model data'!J10+'Model data'!K10*E38+'Model data'!L10*D38</f>
        <v>0.81028838215090804</v>
      </c>
      <c r="H38" s="50">
        <f>'Model data'!D34</f>
        <v>0.56571082144915019</v>
      </c>
      <c r="I38" s="52">
        <f>-0.5*LN(1+(G38/H38-1/'Model data'!$D$26)/(1-G38))</f>
        <v>-0.44662998111260943</v>
      </c>
      <c r="J38" s="184">
        <f>1-(1+EXP(2*(I38+IF(Introduction!D$11="45q15",'Model data'!$C$24,'Model data'!$C$27))))/(1+EXP(2*(I38+'Model data'!$C$33)))</f>
        <v>0.122191097591971</v>
      </c>
      <c r="K38" s="192">
        <f>IF(T38&gt;=T37,NA(),T38)</f>
        <v>1985.4208881957843</v>
      </c>
      <c r="L38" s="21"/>
      <c r="M38" s="26" t="s">
        <v>12</v>
      </c>
      <c r="N38" s="40">
        <f t="shared" si="32"/>
        <v>37.5</v>
      </c>
      <c r="O38" s="27">
        <f t="shared" si="23"/>
        <v>0.76327442049304084</v>
      </c>
      <c r="P38" s="27">
        <f t="shared" si="24"/>
        <v>0.27493153156108019</v>
      </c>
      <c r="Q38" s="27">
        <f t="shared" si="25"/>
        <v>0.3403651786610114</v>
      </c>
      <c r="R38" s="40">
        <f t="shared" si="26"/>
        <v>18.75</v>
      </c>
      <c r="S38" s="28">
        <f t="shared" si="27"/>
        <v>12.368152900106038</v>
      </c>
      <c r="T38" s="38">
        <f t="shared" si="28"/>
        <v>1985.4208881957843</v>
      </c>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row>
    <row r="39" spans="1:59" ht="15" customHeight="1">
      <c r="A39" s="26" t="s">
        <v>13</v>
      </c>
      <c r="B39" s="204">
        <f t="shared" ref="B39:C39" si="38">B13+B26</f>
        <v>817460</v>
      </c>
      <c r="C39" s="204">
        <f t="shared" si="38"/>
        <v>519580</v>
      </c>
      <c r="D39" s="27">
        <f t="shared" si="30"/>
        <v>0.63560296528270499</v>
      </c>
      <c r="E39" s="135">
        <f t="shared" si="22"/>
        <v>28.280746395250212</v>
      </c>
      <c r="F39" s="170">
        <v>45</v>
      </c>
      <c r="G39" s="50">
        <f>'Model data'!J11+'Model data'!K11*E39+'Model data'!L11*D39</f>
        <v>0.69104098422953808</v>
      </c>
      <c r="H39" s="50">
        <f>'Model data'!D35</f>
        <v>0.45955087928190458</v>
      </c>
      <c r="I39" s="52">
        <f>-0.5*LN(1+(G39/H39-1/'Model data'!$D$26)/(1-G39))</f>
        <v>-0.37504316574318897</v>
      </c>
      <c r="J39" s="184">
        <f>1-(1+EXP(2*(I39+IF(Introduction!D$11="45q15",'Model data'!$C$24,'Model data'!$C$27))))/(1+EXP(2*(I39+'Model data'!$C$33)))</f>
        <v>0.13716720223017531</v>
      </c>
      <c r="K39" s="192" t="e">
        <f t="shared" ref="K39:K40" si="39">IF(T39&gt;=T38,NA(),T39)</f>
        <v>#N/A</v>
      </c>
      <c r="L39" s="21"/>
      <c r="M39" s="26" t="s">
        <v>13</v>
      </c>
      <c r="N39" s="40">
        <f t="shared" si="32"/>
        <v>42.5</v>
      </c>
      <c r="O39" s="27">
        <f t="shared" si="23"/>
        <v>0.63560296528270499</v>
      </c>
      <c r="P39" s="27">
        <f t="shared" si="24"/>
        <v>0.17825573576922427</v>
      </c>
      <c r="Q39" s="27">
        <f t="shared" si="25"/>
        <v>0.42378495432495766</v>
      </c>
      <c r="R39" s="40">
        <f t="shared" si="26"/>
        <v>21.25</v>
      </c>
      <c r="S39" s="28">
        <f t="shared" si="27"/>
        <v>12.244569720594649</v>
      </c>
      <c r="T39" s="38">
        <f t="shared" si="28"/>
        <v>1985.5444713752956</v>
      </c>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row>
    <row r="40" spans="1:59" ht="15" customHeight="1">
      <c r="A40" s="29" t="s">
        <v>14</v>
      </c>
      <c r="B40" s="143">
        <f t="shared" ref="B40:C40" si="40">B14+B27</f>
        <v>603840</v>
      </c>
      <c r="C40" s="143">
        <f t="shared" si="40"/>
        <v>298760</v>
      </c>
      <c r="D40" s="30">
        <f t="shared" si="30"/>
        <v>0.49476682564917857</v>
      </c>
      <c r="E40" s="39">
        <f t="shared" si="22"/>
        <v>28.280746395250212</v>
      </c>
      <c r="F40" s="172">
        <v>50</v>
      </c>
      <c r="G40" s="30">
        <f>'Model data'!J12+'Model data'!K12*E40+'Model data'!L12*D40</f>
        <v>0.54190780840786901</v>
      </c>
      <c r="H40" s="30">
        <f>'Model data'!D36</f>
        <v>0.33555954367971813</v>
      </c>
      <c r="I40" s="53">
        <f>-0.5*LN(1+(G40/H40-1/'Model data'!$D$26)/(1-G40))</f>
        <v>-0.34563303620370284</v>
      </c>
      <c r="J40" s="186">
        <f>1-(1+EXP(2*(I40+IF(Introduction!D$11="45q15",'Model data'!$C$24,'Model data'!$C$27))))/(1+EXP(2*(I40+'Model data'!$C$33)))</f>
        <v>0.14370331124456281</v>
      </c>
      <c r="K40" s="193" t="e">
        <f t="shared" si="39"/>
        <v>#N/A</v>
      </c>
      <c r="L40" s="21"/>
      <c r="M40" s="29" t="s">
        <v>14</v>
      </c>
      <c r="N40" s="41">
        <f t="shared" si="32"/>
        <v>47.5</v>
      </c>
      <c r="O40" s="30">
        <f t="shared" si="23"/>
        <v>0.49476682564917857</v>
      </c>
      <c r="P40" s="30">
        <f t="shared" si="24"/>
        <v>8.1579939977368315E-2</v>
      </c>
      <c r="Q40" s="30">
        <f t="shared" si="25"/>
        <v>0.60083439805115801</v>
      </c>
      <c r="R40" s="41">
        <f t="shared" si="26"/>
        <v>23.75</v>
      </c>
      <c r="S40" s="31">
        <f t="shared" si="27"/>
        <v>9.4801830462849974</v>
      </c>
      <c r="T40" s="39">
        <f t="shared" si="28"/>
        <v>1988.3088580496053</v>
      </c>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row>
    <row r="41" spans="1:59" ht="15" customHeight="1">
      <c r="B41" s="80"/>
      <c r="C41" s="66"/>
      <c r="D41" s="66"/>
      <c r="E41" s="66"/>
      <c r="F41" s="66"/>
      <c r="G41" s="13"/>
      <c r="H41" s="15"/>
      <c r="I41" s="15"/>
      <c r="J41" s="15"/>
      <c r="K41" s="15"/>
      <c r="L41" s="15"/>
      <c r="M41" s="15"/>
      <c r="N41" s="15"/>
      <c r="O41" s="15"/>
      <c r="P41" s="15"/>
      <c r="Q41" s="15"/>
      <c r="R41" s="15"/>
      <c r="S41" s="15"/>
      <c r="T41" s="15"/>
      <c r="U41" s="15"/>
      <c r="V41" s="15"/>
      <c r="W41" s="15"/>
      <c r="X41" s="15"/>
      <c r="Y41" s="15"/>
      <c r="Z41" s="15"/>
      <c r="AA41" s="15"/>
      <c r="AB41" s="15"/>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row>
    <row r="42" spans="1:59" ht="15" customHeight="1">
      <c r="A42" s="15" t="s">
        <v>53</v>
      </c>
      <c r="H42" s="15"/>
      <c r="J42" s="68"/>
      <c r="K42" s="15"/>
      <c r="L42" s="76"/>
      <c r="M42" s="15"/>
      <c r="N42" s="3"/>
      <c r="O42" s="3"/>
      <c r="P42" s="3"/>
      <c r="Q42" s="3"/>
      <c r="R42" s="13"/>
      <c r="S42" s="3"/>
      <c r="T42" s="13"/>
      <c r="U42" s="13"/>
      <c r="V42" s="13"/>
      <c r="W42" s="13"/>
      <c r="X42" s="13"/>
      <c r="Y42" s="1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row>
    <row r="43" spans="1:59" ht="15" customHeight="1">
      <c r="A43" s="214" t="s">
        <v>82</v>
      </c>
      <c r="B43" s="215"/>
      <c r="C43" s="55" t="s">
        <v>90</v>
      </c>
      <c r="D43" s="216" t="s">
        <v>89</v>
      </c>
      <c r="E43" s="216"/>
      <c r="F43" s="3"/>
      <c r="G43" s="3"/>
      <c r="H43" s="15"/>
      <c r="I43" s="15"/>
      <c r="J43" s="15"/>
      <c r="K43" s="15"/>
      <c r="L43" s="15"/>
      <c r="M43" s="15"/>
      <c r="N43" s="15"/>
      <c r="O43" s="15"/>
      <c r="P43" s="15"/>
      <c r="Q43" s="15"/>
      <c r="R43" s="15"/>
      <c r="S43" s="15"/>
      <c r="T43" s="15"/>
      <c r="U43" s="15"/>
      <c r="V43" s="15"/>
      <c r="W43" s="15"/>
      <c r="X43" s="15"/>
      <c r="Y43" s="15"/>
      <c r="Z43" s="15"/>
      <c r="AA43" s="15"/>
      <c r="AB43" s="15"/>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row>
    <row r="44" spans="1:59" ht="15" customHeight="1">
      <c r="A44" s="22" t="s">
        <v>0</v>
      </c>
      <c r="B44" s="22" t="s">
        <v>49</v>
      </c>
      <c r="C44" s="22" t="s">
        <v>15</v>
      </c>
      <c r="D44" s="61"/>
      <c r="E44" s="77"/>
      <c r="F44" s="77"/>
      <c r="G44" s="77"/>
      <c r="H44" s="15"/>
      <c r="I44" s="15"/>
      <c r="J44" s="15"/>
      <c r="K44" s="15"/>
      <c r="L44" s="15"/>
      <c r="M44" s="15"/>
      <c r="N44" s="15"/>
      <c r="O44" s="15"/>
      <c r="P44" s="15"/>
      <c r="Q44" s="15"/>
      <c r="R44" s="15"/>
      <c r="S44" s="15"/>
      <c r="T44" s="15"/>
      <c r="U44" s="15"/>
      <c r="V44" s="15"/>
      <c r="W44" s="15"/>
      <c r="X44" s="15"/>
      <c r="Y44" s="15"/>
      <c r="Z44" s="15"/>
      <c r="AA44" s="15"/>
      <c r="AB44" s="15"/>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row>
    <row r="45" spans="1:59" ht="15" customHeight="1">
      <c r="A45" s="32" t="s">
        <v>55</v>
      </c>
      <c r="B45" s="33" t="s">
        <v>48</v>
      </c>
      <c r="C45" s="32" t="s">
        <v>54</v>
      </c>
      <c r="D45" s="78"/>
      <c r="E45" s="77"/>
      <c r="F45" s="77"/>
      <c r="G45" s="77"/>
      <c r="H45" s="15"/>
      <c r="I45" s="15"/>
      <c r="J45" s="15"/>
      <c r="K45" s="15"/>
      <c r="L45" s="15"/>
      <c r="M45" s="15"/>
      <c r="N45" s="15"/>
      <c r="O45" s="15"/>
      <c r="P45" s="15"/>
      <c r="Q45" s="15"/>
      <c r="R45" s="15"/>
      <c r="S45" s="15"/>
      <c r="T45" s="15"/>
      <c r="U45" s="15"/>
      <c r="V45" s="15"/>
      <c r="W45" s="15"/>
      <c r="X45" s="15"/>
      <c r="Y45" s="15"/>
      <c r="Z45" s="15"/>
      <c r="AA45" s="15"/>
      <c r="AB45" s="15"/>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row>
    <row r="46" spans="1:59" ht="15" customHeight="1">
      <c r="A46" s="72"/>
      <c r="B46" s="23" t="s">
        <v>47</v>
      </c>
      <c r="C46" s="34" t="s">
        <v>45</v>
      </c>
      <c r="D46" s="23" t="s">
        <v>46</v>
      </c>
      <c r="E46" s="79"/>
      <c r="F46" s="79"/>
      <c r="G46" s="79"/>
      <c r="H46" s="15"/>
      <c r="I46" s="15"/>
      <c r="J46" s="15"/>
      <c r="K46" s="15"/>
      <c r="L46" s="15"/>
      <c r="M46" s="15"/>
      <c r="N46" s="15"/>
      <c r="O46" s="15"/>
      <c r="P46" s="15"/>
      <c r="Q46" s="15"/>
      <c r="R46" s="15"/>
      <c r="S46" s="15"/>
      <c r="T46" s="15"/>
      <c r="U46" s="15"/>
      <c r="V46" s="15"/>
      <c r="W46" s="15"/>
      <c r="X46" s="15"/>
      <c r="Y46" s="15"/>
      <c r="Z46" s="15"/>
      <c r="AA46" s="15"/>
      <c r="AB46" s="15"/>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row>
    <row r="47" spans="1:59" ht="15" customHeight="1">
      <c r="A47" s="26" t="s">
        <v>8</v>
      </c>
      <c r="B47" s="179">
        <v>50720</v>
      </c>
      <c r="C47" s="26">
        <f>IF(D43="Age at interview",17,17.5)</f>
        <v>17</v>
      </c>
      <c r="D47" s="35">
        <f>B47*C47</f>
        <v>862240</v>
      </c>
      <c r="E47" s="13"/>
      <c r="F47" s="13"/>
      <c r="G47" s="13"/>
      <c r="H47" s="15"/>
      <c r="I47" s="15"/>
      <c r="J47" s="15"/>
      <c r="K47" s="15"/>
      <c r="L47" s="15"/>
      <c r="M47" s="15"/>
      <c r="N47" s="15"/>
      <c r="O47" s="15"/>
      <c r="P47" s="15"/>
      <c r="Q47" s="15"/>
      <c r="R47" s="15"/>
      <c r="S47" s="15"/>
      <c r="T47" s="15"/>
      <c r="U47" s="15"/>
      <c r="V47" s="15"/>
      <c r="W47" s="15"/>
      <c r="X47" s="15"/>
      <c r="Y47" s="15"/>
      <c r="Z47" s="15"/>
      <c r="AA47" s="15"/>
      <c r="AB47" s="15"/>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row>
    <row r="48" spans="1:59" ht="15" customHeight="1">
      <c r="A48" s="26" t="s">
        <v>9</v>
      </c>
      <c r="B48" s="179">
        <v>147040</v>
      </c>
      <c r="C48" s="26">
        <f>C47+5</f>
        <v>22</v>
      </c>
      <c r="D48" s="35">
        <f t="shared" ref="D48:D53" si="41">B48*C48</f>
        <v>3234880</v>
      </c>
      <c r="E48" s="13"/>
      <c r="F48" s="13"/>
      <c r="G48" s="13"/>
      <c r="H48" s="15"/>
      <c r="I48" s="15"/>
      <c r="J48" s="15"/>
      <c r="K48" s="15"/>
      <c r="L48" s="15"/>
      <c r="M48" s="15"/>
      <c r="N48" s="15"/>
      <c r="O48" s="15"/>
      <c r="P48" s="15"/>
      <c r="Q48" s="15"/>
      <c r="R48" s="15"/>
      <c r="S48" s="15"/>
      <c r="T48" s="15"/>
      <c r="U48" s="15"/>
      <c r="V48" s="15"/>
      <c r="W48" s="15"/>
      <c r="X48" s="15"/>
      <c r="Y48" s="15"/>
      <c r="Z48" s="15"/>
      <c r="AA48" s="15"/>
      <c r="AB48" s="15"/>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row>
    <row r="49" spans="1:59" ht="15" customHeight="1">
      <c r="A49" s="26" t="s">
        <v>10</v>
      </c>
      <c r="B49" s="179">
        <v>174350</v>
      </c>
      <c r="C49" s="26">
        <f t="shared" ref="C49:C53" si="42">C48+5</f>
        <v>27</v>
      </c>
      <c r="D49" s="35">
        <f t="shared" si="41"/>
        <v>4707450</v>
      </c>
      <c r="E49" s="13"/>
      <c r="F49" s="13"/>
      <c r="G49" s="13"/>
      <c r="H49" s="15"/>
      <c r="I49" s="15"/>
      <c r="J49" s="15"/>
      <c r="K49" s="15"/>
      <c r="L49" s="15"/>
      <c r="M49" s="15"/>
      <c r="N49" s="15"/>
      <c r="O49" s="15"/>
      <c r="P49" s="15"/>
      <c r="Q49" s="15"/>
      <c r="R49" s="15"/>
      <c r="S49" s="15"/>
      <c r="T49" s="15"/>
      <c r="U49" s="15"/>
      <c r="V49" s="15"/>
      <c r="W49" s="15"/>
      <c r="X49" s="15"/>
      <c r="Y49" s="15"/>
      <c r="Z49" s="15"/>
      <c r="AA49" s="15"/>
      <c r="AB49" s="15"/>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row>
    <row r="50" spans="1:59" ht="15" customHeight="1">
      <c r="A50" s="26" t="s">
        <v>11</v>
      </c>
      <c r="B50" s="179">
        <v>129860</v>
      </c>
      <c r="C50" s="26">
        <f t="shared" si="42"/>
        <v>32</v>
      </c>
      <c r="D50" s="35">
        <f t="shared" si="41"/>
        <v>4155520</v>
      </c>
      <c r="E50" s="13"/>
      <c r="F50" s="13"/>
      <c r="G50" s="13"/>
      <c r="H50" s="15"/>
      <c r="I50" s="15"/>
      <c r="J50" s="15"/>
      <c r="K50" s="15"/>
      <c r="L50" s="15"/>
      <c r="M50" s="15"/>
      <c r="N50" s="15"/>
      <c r="O50" s="15"/>
      <c r="P50" s="15"/>
      <c r="Q50" s="15"/>
      <c r="R50" s="15"/>
      <c r="S50" s="15"/>
      <c r="T50" s="15"/>
      <c r="U50" s="15"/>
      <c r="V50" s="15"/>
      <c r="W50" s="15"/>
      <c r="X50" s="15"/>
      <c r="Y50" s="15"/>
      <c r="Z50" s="15"/>
      <c r="AA50" s="15"/>
      <c r="AB50" s="15"/>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row>
    <row r="51" spans="1:59" ht="15" customHeight="1">
      <c r="A51" s="26" t="s">
        <v>12</v>
      </c>
      <c r="B51" s="179">
        <v>66440</v>
      </c>
      <c r="C51" s="26">
        <f t="shared" si="42"/>
        <v>37</v>
      </c>
      <c r="D51" s="35">
        <f t="shared" si="41"/>
        <v>2458280</v>
      </c>
      <c r="E51" s="13"/>
      <c r="F51" s="13"/>
      <c r="G51" s="13"/>
      <c r="H51" s="15"/>
      <c r="I51" s="15"/>
      <c r="J51" s="15"/>
      <c r="K51" s="15"/>
      <c r="L51" s="15"/>
      <c r="M51" s="15"/>
      <c r="N51" s="15"/>
      <c r="O51" s="15"/>
      <c r="P51" s="15"/>
      <c r="Q51" s="15"/>
      <c r="R51" s="15"/>
      <c r="S51" s="15"/>
      <c r="T51" s="15"/>
      <c r="U51" s="15"/>
      <c r="V51" s="15"/>
      <c r="W51" s="15"/>
      <c r="X51" s="15"/>
      <c r="Y51" s="15"/>
      <c r="Z51" s="15"/>
      <c r="AA51" s="15"/>
      <c r="AB51" s="15"/>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row>
    <row r="52" spans="1:59" ht="15" customHeight="1">
      <c r="A52" s="26" t="s">
        <v>13</v>
      </c>
      <c r="B52" s="179">
        <v>35900</v>
      </c>
      <c r="C52" s="26">
        <f t="shared" si="42"/>
        <v>42</v>
      </c>
      <c r="D52" s="35">
        <f t="shared" si="41"/>
        <v>1507800</v>
      </c>
      <c r="E52" s="13"/>
      <c r="F52" s="13"/>
      <c r="G52" s="13"/>
      <c r="H52" s="15"/>
      <c r="I52" s="15"/>
      <c r="J52" s="15"/>
      <c r="K52" s="15"/>
      <c r="L52" s="15"/>
      <c r="M52" s="15"/>
      <c r="N52" s="15"/>
      <c r="O52" s="15"/>
      <c r="P52" s="15"/>
      <c r="Q52" s="15"/>
      <c r="R52" s="15"/>
      <c r="S52" s="15"/>
      <c r="T52" s="15"/>
      <c r="U52" s="15"/>
      <c r="V52" s="15"/>
      <c r="W52" s="15"/>
      <c r="X52" s="15"/>
      <c r="Y52" s="15"/>
      <c r="Z52" s="15"/>
      <c r="AA52" s="15"/>
      <c r="AB52" s="15"/>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row>
    <row r="53" spans="1:59" ht="15" customHeight="1">
      <c r="A53" s="26" t="s">
        <v>14</v>
      </c>
      <c r="B53" s="179">
        <v>8770</v>
      </c>
      <c r="C53" s="26">
        <f t="shared" si="42"/>
        <v>47</v>
      </c>
      <c r="D53" s="35">
        <f t="shared" si="41"/>
        <v>412190</v>
      </c>
      <c r="E53" s="13"/>
      <c r="F53" s="13"/>
      <c r="G53" s="13"/>
      <c r="H53" s="15"/>
      <c r="I53" s="15"/>
      <c r="J53" s="15"/>
      <c r="K53" s="15"/>
      <c r="L53" s="15"/>
      <c r="M53" s="15"/>
      <c r="N53" s="15"/>
      <c r="O53" s="15"/>
      <c r="P53" s="15"/>
      <c r="Q53" s="15"/>
      <c r="R53" s="15"/>
      <c r="S53" s="15"/>
      <c r="T53" s="15"/>
      <c r="U53" s="15"/>
      <c r="V53" s="15"/>
      <c r="W53" s="15"/>
      <c r="X53" s="15"/>
      <c r="Y53" s="15"/>
      <c r="Z53" s="15"/>
      <c r="AA53" s="15"/>
      <c r="AB53" s="15"/>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row>
    <row r="54" spans="1:59" ht="15" customHeight="1">
      <c r="A54" s="29" t="s">
        <v>26</v>
      </c>
      <c r="B54" s="36">
        <f>SUM(B47:B53)</f>
        <v>613080</v>
      </c>
      <c r="C54" s="41"/>
      <c r="D54" s="36">
        <f>SUM(D47:D53)</f>
        <v>17338360</v>
      </c>
      <c r="E54" s="13"/>
      <c r="F54" s="13"/>
      <c r="G54" s="13"/>
      <c r="H54" s="15"/>
      <c r="I54" s="15"/>
      <c r="J54" s="15"/>
      <c r="K54" s="15"/>
      <c r="L54" s="15"/>
      <c r="M54" s="15"/>
      <c r="N54" s="15"/>
      <c r="O54" s="15"/>
      <c r="P54" s="15"/>
      <c r="Q54" s="15"/>
      <c r="R54" s="15"/>
      <c r="S54" s="15"/>
      <c r="T54" s="15"/>
      <c r="U54" s="15"/>
      <c r="V54" s="15"/>
      <c r="W54" s="15"/>
      <c r="X54" s="15"/>
      <c r="Y54" s="15"/>
      <c r="Z54" s="15"/>
      <c r="AA54" s="15"/>
      <c r="AB54" s="15"/>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row>
    <row r="55" spans="1:59" ht="15" customHeight="1" thickBot="1">
      <c r="A55" s="1"/>
      <c r="B55" s="17"/>
      <c r="C55" s="13"/>
      <c r="D55" s="13"/>
      <c r="E55" s="13"/>
      <c r="F55" s="13"/>
      <c r="G55" s="13"/>
      <c r="H55" s="15"/>
      <c r="I55" s="15"/>
      <c r="J55" s="15"/>
      <c r="K55" s="15"/>
      <c r="L55" s="15"/>
      <c r="M55" s="15"/>
      <c r="N55" s="15"/>
      <c r="O55" s="15"/>
      <c r="P55" s="15"/>
      <c r="Q55" s="15"/>
      <c r="R55" s="15"/>
      <c r="S55" s="15"/>
      <c r="T55" s="15"/>
      <c r="U55" s="15"/>
      <c r="V55" s="15"/>
      <c r="W55" s="15"/>
      <c r="X55" s="15"/>
      <c r="Y55" s="15"/>
      <c r="Z55" s="15"/>
      <c r="AA55" s="15"/>
      <c r="AB55" s="15"/>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row>
    <row r="56" spans="1:59" ht="15" customHeight="1" thickBot="1">
      <c r="B56" s="17"/>
      <c r="C56" s="190" t="s">
        <v>136</v>
      </c>
      <c r="D56" s="191">
        <f>D54/B54</f>
        <v>28.280746395250212</v>
      </c>
      <c r="E56" s="13"/>
      <c r="F56" s="13"/>
      <c r="G56" s="13"/>
      <c r="H56" s="15"/>
      <c r="I56" s="15"/>
      <c r="J56" s="15"/>
      <c r="K56" s="15"/>
      <c r="L56" s="15"/>
      <c r="M56" s="15"/>
      <c r="N56" s="15"/>
      <c r="O56" s="15"/>
      <c r="P56" s="15"/>
      <c r="Q56" s="15"/>
      <c r="R56" s="15"/>
      <c r="S56" s="15"/>
      <c r="T56" s="15"/>
      <c r="U56" s="15"/>
      <c r="V56" s="15"/>
      <c r="W56" s="15"/>
      <c r="X56" s="15"/>
      <c r="Y56" s="15"/>
      <c r="Z56" s="15"/>
      <c r="AA56" s="15"/>
      <c r="AB56" s="15"/>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row>
    <row r="57" spans="1:59" ht="15" customHeight="1">
      <c r="A57" s="3"/>
      <c r="B57" s="80"/>
      <c r="C57" s="13"/>
      <c r="D57" s="13"/>
      <c r="E57" s="13"/>
      <c r="F57" s="13"/>
      <c r="G57" s="13"/>
      <c r="H57" s="15"/>
      <c r="I57" s="15"/>
      <c r="J57" s="15"/>
      <c r="K57" s="15"/>
      <c r="L57" s="15"/>
      <c r="M57" s="15"/>
      <c r="N57" s="15"/>
      <c r="O57" s="15"/>
      <c r="P57" s="15"/>
      <c r="Q57" s="15"/>
      <c r="R57" s="15"/>
      <c r="S57" s="15"/>
      <c r="T57" s="15"/>
      <c r="U57" s="15"/>
      <c r="V57" s="15"/>
      <c r="W57" s="15"/>
      <c r="X57" s="15"/>
      <c r="Y57" s="15"/>
      <c r="Z57" s="15"/>
      <c r="AA57" s="15"/>
      <c r="AB57" s="15"/>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row>
    <row r="58" spans="1:59" ht="15" customHeight="1">
      <c r="B58" s="80"/>
      <c r="C58" s="66"/>
      <c r="D58" s="66"/>
      <c r="E58" s="66"/>
      <c r="F58" s="66"/>
      <c r="G58" s="13"/>
      <c r="H58" s="15"/>
      <c r="I58" s="15"/>
      <c r="J58" s="15"/>
      <c r="K58" s="15"/>
      <c r="L58" s="15"/>
      <c r="M58" s="15"/>
      <c r="N58" s="15"/>
      <c r="O58" s="15"/>
      <c r="P58" s="15"/>
      <c r="Q58" s="15"/>
      <c r="R58" s="15"/>
      <c r="S58" s="15"/>
      <c r="T58" s="15"/>
      <c r="U58" s="15"/>
      <c r="V58" s="15"/>
      <c r="W58" s="15"/>
      <c r="X58" s="15"/>
      <c r="Y58" s="15"/>
      <c r="Z58" s="15"/>
      <c r="AA58" s="15"/>
      <c r="AB58" s="15"/>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row>
    <row r="59" spans="1:59" ht="15" customHeight="1">
      <c r="B59" s="80"/>
      <c r="C59" s="66"/>
      <c r="D59" s="66"/>
      <c r="E59" s="66"/>
      <c r="F59" s="66"/>
      <c r="G59" s="13"/>
      <c r="H59" s="15"/>
      <c r="I59" s="15"/>
      <c r="J59" s="15"/>
      <c r="K59" s="15"/>
      <c r="L59" s="15"/>
      <c r="M59" s="15"/>
      <c r="N59" s="15"/>
      <c r="O59" s="15"/>
      <c r="P59" s="15"/>
      <c r="Q59" s="15"/>
      <c r="R59" s="15"/>
      <c r="S59" s="15"/>
      <c r="T59" s="15"/>
      <c r="U59" s="15"/>
      <c r="V59" s="15"/>
      <c r="W59" s="15"/>
      <c r="X59" s="15"/>
      <c r="Y59" s="15"/>
      <c r="Z59" s="15"/>
      <c r="AA59" s="15"/>
      <c r="AB59" s="15"/>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row>
    <row r="60" spans="1:59" ht="15" customHeight="1">
      <c r="B60" s="80"/>
      <c r="C60" s="66"/>
      <c r="D60" s="66"/>
      <c r="E60" s="66"/>
      <c r="F60" s="66"/>
      <c r="G60" s="66"/>
      <c r="H60" s="15"/>
      <c r="I60" s="15"/>
      <c r="J60" s="15"/>
      <c r="K60" s="15"/>
      <c r="L60" s="15"/>
      <c r="M60" s="15"/>
      <c r="N60" s="15"/>
      <c r="O60" s="15"/>
      <c r="P60" s="15"/>
      <c r="Q60" s="15"/>
      <c r="R60" s="15"/>
      <c r="S60" s="15"/>
      <c r="T60" s="15"/>
      <c r="U60" s="15"/>
      <c r="V60" s="15"/>
      <c r="W60" s="15"/>
      <c r="X60" s="15"/>
      <c r="Y60" s="15"/>
      <c r="Z60" s="15"/>
      <c r="AA60" s="15"/>
      <c r="AB60" s="15"/>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row>
    <row r="61" spans="1:59" ht="15" customHeight="1">
      <c r="B61" s="80"/>
      <c r="C61" s="66"/>
      <c r="D61" s="66"/>
      <c r="E61" s="66"/>
      <c r="F61" s="66"/>
      <c r="G61" s="66"/>
      <c r="H61" s="15"/>
      <c r="I61" s="15"/>
      <c r="J61" s="15"/>
      <c r="K61" s="15"/>
      <c r="L61" s="15"/>
      <c r="M61" s="15"/>
      <c r="N61" s="15"/>
      <c r="O61" s="15"/>
      <c r="P61" s="15"/>
      <c r="Q61" s="15"/>
      <c r="R61" s="15"/>
      <c r="S61" s="15"/>
      <c r="T61" s="15"/>
      <c r="U61" s="15"/>
      <c r="V61" s="15"/>
      <c r="W61" s="15"/>
      <c r="X61" s="15"/>
      <c r="Y61" s="15"/>
      <c r="Z61" s="15"/>
      <c r="AA61" s="15"/>
      <c r="AB61" s="15"/>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row>
    <row r="62" spans="1:59" ht="15" customHeight="1">
      <c r="B62" s="80"/>
      <c r="C62" s="66"/>
      <c r="D62" s="66"/>
      <c r="E62" s="66"/>
      <c r="F62" s="66"/>
      <c r="G62" s="66"/>
      <c r="H62" s="15"/>
      <c r="I62" s="15"/>
      <c r="J62" s="15"/>
      <c r="K62" s="15"/>
      <c r="L62" s="15"/>
      <c r="M62" s="15"/>
      <c r="N62" s="15"/>
      <c r="O62" s="15"/>
      <c r="P62" s="15"/>
      <c r="Q62" s="15"/>
      <c r="R62" s="15"/>
      <c r="S62" s="15"/>
      <c r="T62" s="15"/>
      <c r="U62" s="15"/>
      <c r="V62" s="15"/>
      <c r="W62" s="15"/>
      <c r="X62" s="15"/>
      <c r="Y62" s="15"/>
      <c r="Z62" s="15"/>
      <c r="AA62" s="15"/>
      <c r="AB62" s="15"/>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row>
    <row r="63" spans="1:59" ht="15" customHeight="1">
      <c r="B63" s="80"/>
      <c r="C63" s="66"/>
      <c r="D63" s="66"/>
      <c r="E63" s="66"/>
      <c r="F63" s="66"/>
      <c r="G63" s="66"/>
      <c r="H63" s="15"/>
      <c r="I63" s="15"/>
      <c r="J63" s="15"/>
      <c r="K63" s="15"/>
      <c r="L63" s="15"/>
      <c r="M63" s="15"/>
      <c r="N63" s="15"/>
      <c r="O63" s="15"/>
      <c r="P63" s="15"/>
      <c r="Q63" s="15"/>
      <c r="R63" s="15"/>
      <c r="S63" s="15"/>
      <c r="T63" s="15"/>
      <c r="U63" s="15"/>
      <c r="V63" s="15"/>
      <c r="W63" s="15"/>
      <c r="X63" s="15"/>
      <c r="Y63" s="15"/>
      <c r="Z63" s="15"/>
      <c r="AA63" s="15"/>
      <c r="AB63" s="15"/>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row>
    <row r="64" spans="1:59" ht="15" customHeight="1">
      <c r="B64" s="80"/>
      <c r="C64" s="66"/>
      <c r="D64" s="66"/>
      <c r="E64" s="66"/>
      <c r="F64" s="66"/>
      <c r="G64" s="66"/>
      <c r="H64" s="15"/>
      <c r="I64" s="15"/>
      <c r="J64" s="15"/>
      <c r="K64" s="15"/>
      <c r="L64" s="15"/>
      <c r="M64" s="15"/>
      <c r="N64" s="15"/>
      <c r="O64" s="15"/>
      <c r="P64" s="15"/>
      <c r="Q64" s="15"/>
      <c r="R64" s="15"/>
      <c r="S64" s="15"/>
      <c r="T64" s="15"/>
      <c r="U64" s="15"/>
      <c r="V64" s="15"/>
      <c r="W64" s="15"/>
      <c r="X64" s="15"/>
      <c r="Y64" s="15"/>
      <c r="Z64" s="15"/>
      <c r="AA64" s="15"/>
      <c r="AB64" s="15"/>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row>
    <row r="65" spans="1:59" ht="15" customHeight="1">
      <c r="C65" s="66"/>
      <c r="D65" s="66"/>
      <c r="E65" s="66"/>
      <c r="F65" s="66"/>
      <c r="G65" s="66"/>
      <c r="H65" s="15"/>
      <c r="I65" s="15"/>
      <c r="J65" s="15"/>
      <c r="K65" s="15"/>
      <c r="L65" s="15"/>
      <c r="M65" s="15"/>
      <c r="N65" s="15"/>
      <c r="O65" s="15"/>
      <c r="P65" s="15"/>
      <c r="Q65" s="15"/>
      <c r="R65" s="15"/>
      <c r="S65" s="15"/>
      <c r="T65" s="15"/>
      <c r="U65" s="15"/>
      <c r="V65" s="15"/>
      <c r="W65" s="15"/>
      <c r="X65" s="15"/>
      <c r="Y65" s="15"/>
      <c r="Z65" s="15"/>
      <c r="AA65" s="15"/>
      <c r="AB65" s="15"/>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row>
    <row r="66" spans="1:59" ht="15" customHeight="1">
      <c r="C66" s="66"/>
      <c r="D66" s="66"/>
      <c r="E66" s="66"/>
      <c r="F66" s="66"/>
      <c r="G66" s="66"/>
      <c r="H66" s="15"/>
      <c r="I66" s="15"/>
      <c r="J66" s="15"/>
      <c r="K66" s="15"/>
      <c r="L66" s="15"/>
      <c r="M66" s="15"/>
      <c r="N66" s="15"/>
      <c r="O66" s="15"/>
      <c r="P66" s="15"/>
      <c r="Q66" s="15"/>
      <c r="R66" s="15"/>
      <c r="S66" s="15"/>
      <c r="T66" s="15"/>
      <c r="U66" s="15"/>
      <c r="V66" s="15"/>
      <c r="W66" s="15"/>
      <c r="X66" s="15"/>
      <c r="Y66" s="15"/>
      <c r="Z66" s="15"/>
      <c r="AA66" s="15"/>
      <c r="AB66" s="15"/>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row>
    <row r="67" spans="1:59" ht="15" customHeight="1">
      <c r="C67" s="66"/>
      <c r="D67" s="66"/>
      <c r="E67" s="66"/>
      <c r="F67" s="66"/>
      <c r="G67" s="66"/>
      <c r="H67" s="15"/>
      <c r="I67" s="15"/>
      <c r="J67" s="15"/>
      <c r="K67" s="15"/>
      <c r="L67" s="15"/>
      <c r="M67" s="15"/>
      <c r="N67" s="15"/>
      <c r="O67" s="15"/>
      <c r="P67" s="15"/>
      <c r="Q67" s="15"/>
      <c r="R67" s="15"/>
      <c r="S67" s="15"/>
      <c r="T67" s="15"/>
      <c r="U67" s="15"/>
      <c r="V67" s="15"/>
      <c r="W67" s="15"/>
      <c r="X67" s="15"/>
      <c r="Y67" s="15"/>
      <c r="Z67" s="15"/>
      <c r="AA67" s="15"/>
      <c r="AB67" s="15"/>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row>
    <row r="68" spans="1:59" ht="15" customHeight="1">
      <c r="C68" s="66"/>
      <c r="D68" s="66"/>
      <c r="E68" s="66"/>
      <c r="F68" s="66"/>
      <c r="G68" s="66"/>
      <c r="H68" s="15"/>
      <c r="I68" s="15"/>
      <c r="J68" s="15"/>
      <c r="K68" s="15"/>
      <c r="L68" s="15"/>
      <c r="M68" s="15"/>
      <c r="N68" s="15"/>
      <c r="O68" s="15"/>
      <c r="P68" s="15"/>
      <c r="Q68" s="15"/>
      <c r="R68" s="15"/>
      <c r="S68" s="15"/>
      <c r="T68" s="15"/>
      <c r="U68" s="15"/>
      <c r="V68" s="15"/>
      <c r="W68" s="15"/>
      <c r="X68" s="15"/>
      <c r="Y68" s="15"/>
      <c r="Z68" s="15"/>
      <c r="AA68" s="15"/>
      <c r="AB68" s="15"/>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row>
    <row r="69" spans="1:59" ht="15" customHeight="1">
      <c r="C69" s="66"/>
      <c r="D69" s="66"/>
      <c r="E69" s="66"/>
      <c r="F69" s="66"/>
      <c r="G69" s="66"/>
      <c r="H69" s="15"/>
      <c r="I69" s="15"/>
      <c r="J69" s="15"/>
      <c r="K69" s="15"/>
      <c r="L69" s="15"/>
      <c r="M69" s="15"/>
      <c r="N69" s="15"/>
      <c r="O69" s="15"/>
      <c r="P69" s="15"/>
      <c r="Q69" s="15"/>
      <c r="R69" s="15"/>
      <c r="S69" s="15"/>
      <c r="T69" s="15"/>
      <c r="U69" s="15"/>
      <c r="V69" s="15"/>
      <c r="W69" s="15"/>
      <c r="X69" s="15"/>
      <c r="Y69" s="15"/>
      <c r="Z69" s="15"/>
      <c r="AA69" s="15"/>
      <c r="AB69" s="15"/>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row>
    <row r="70" spans="1:59" ht="15" customHeight="1">
      <c r="C70" s="66"/>
      <c r="D70" s="66"/>
      <c r="E70" s="66"/>
      <c r="F70" s="66"/>
      <c r="G70" s="66"/>
      <c r="H70" s="15"/>
      <c r="I70" s="15"/>
      <c r="J70" s="15"/>
      <c r="K70" s="15"/>
      <c r="L70" s="15"/>
      <c r="M70" s="15"/>
      <c r="N70" s="15"/>
      <c r="O70" s="15"/>
      <c r="P70" s="15"/>
      <c r="Q70" s="15"/>
      <c r="R70" s="15"/>
      <c r="S70" s="15"/>
      <c r="T70" s="15"/>
      <c r="U70" s="15"/>
      <c r="V70" s="15"/>
      <c r="W70" s="15"/>
      <c r="X70" s="15"/>
      <c r="Y70" s="15"/>
      <c r="Z70" s="15"/>
      <c r="AA70" s="15"/>
      <c r="AB70" s="15"/>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row>
    <row r="71" spans="1:59" ht="15" customHeight="1">
      <c r="C71" s="66"/>
      <c r="D71" s="66"/>
      <c r="E71" s="66"/>
      <c r="F71" s="66"/>
      <c r="G71" s="66"/>
      <c r="H71" s="15"/>
      <c r="I71" s="15"/>
      <c r="J71" s="15"/>
      <c r="K71" s="15"/>
      <c r="L71" s="15"/>
      <c r="M71" s="15"/>
      <c r="N71" s="15"/>
      <c r="O71" s="15"/>
      <c r="P71" s="15"/>
      <c r="Q71" s="15"/>
      <c r="R71" s="15"/>
      <c r="S71" s="15"/>
      <c r="T71" s="15"/>
      <c r="U71" s="15"/>
      <c r="V71" s="15"/>
      <c r="W71" s="15"/>
      <c r="X71" s="15"/>
      <c r="Y71" s="15"/>
      <c r="Z71" s="15"/>
      <c r="AA71" s="15"/>
      <c r="AB71" s="15"/>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row>
    <row r="72" spans="1:59" ht="15" customHeight="1">
      <c r="C72" s="66"/>
      <c r="D72" s="66"/>
      <c r="E72" s="66"/>
      <c r="F72" s="66"/>
      <c r="G72" s="66"/>
      <c r="H72" s="15"/>
      <c r="I72" s="15"/>
      <c r="J72" s="15"/>
      <c r="K72" s="15"/>
      <c r="L72" s="15"/>
      <c r="M72" s="15"/>
      <c r="N72" s="15"/>
      <c r="O72" s="15"/>
      <c r="P72" s="15"/>
      <c r="Q72" s="15"/>
      <c r="R72" s="15"/>
      <c r="S72" s="15"/>
      <c r="T72" s="15"/>
      <c r="U72" s="15"/>
      <c r="V72" s="15"/>
      <c r="W72" s="15"/>
      <c r="X72" s="15"/>
      <c r="Y72" s="15"/>
      <c r="Z72" s="15"/>
      <c r="AA72" s="15"/>
      <c r="AB72" s="15"/>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row>
    <row r="73" spans="1:59" ht="15" customHeight="1">
      <c r="C73" s="66"/>
      <c r="D73" s="66"/>
      <c r="E73" s="66"/>
      <c r="F73" s="66"/>
      <c r="G73" s="66"/>
      <c r="H73" s="15"/>
      <c r="I73" s="15"/>
      <c r="J73" s="15"/>
      <c r="K73" s="15"/>
      <c r="L73" s="15"/>
      <c r="M73" s="15"/>
      <c r="N73" s="15"/>
      <c r="O73" s="15"/>
      <c r="P73" s="15"/>
      <c r="Q73" s="15"/>
      <c r="R73" s="15"/>
      <c r="S73" s="15"/>
      <c r="T73" s="15"/>
      <c r="U73" s="15"/>
      <c r="V73" s="15"/>
      <c r="W73" s="15"/>
      <c r="X73" s="15"/>
      <c r="Y73" s="15"/>
      <c r="Z73" s="15"/>
      <c r="AA73" s="15"/>
      <c r="AB73" s="15"/>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row>
    <row r="74" spans="1:59" ht="15" customHeight="1">
      <c r="C74" s="66"/>
      <c r="D74" s="66"/>
      <c r="E74" s="66"/>
      <c r="F74" s="66"/>
      <c r="G74" s="66"/>
      <c r="H74" s="15"/>
      <c r="I74" s="15"/>
      <c r="J74" s="15"/>
      <c r="K74" s="15"/>
      <c r="L74" s="15"/>
      <c r="M74" s="15"/>
      <c r="N74" s="15"/>
      <c r="O74" s="15"/>
      <c r="P74" s="15"/>
      <c r="Q74" s="15"/>
      <c r="R74" s="15"/>
      <c r="S74" s="15"/>
      <c r="T74" s="15"/>
      <c r="U74" s="15"/>
      <c r="V74" s="15"/>
      <c r="W74" s="15"/>
      <c r="X74" s="15"/>
      <c r="Y74" s="15"/>
      <c r="Z74" s="15"/>
      <c r="AA74" s="15"/>
      <c r="AB74" s="15"/>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row>
    <row r="75" spans="1:59" ht="15" customHeight="1">
      <c r="C75" s="66"/>
      <c r="D75" s="66"/>
      <c r="E75" s="66"/>
      <c r="F75" s="66"/>
      <c r="G75" s="66"/>
      <c r="H75" s="15"/>
      <c r="I75" s="15"/>
      <c r="J75" s="15"/>
      <c r="K75" s="15"/>
      <c r="L75" s="15"/>
      <c r="M75" s="15"/>
      <c r="N75" s="15"/>
      <c r="O75" s="15"/>
      <c r="P75" s="15"/>
      <c r="Q75" s="15"/>
      <c r="R75" s="15"/>
      <c r="S75" s="15"/>
      <c r="T75" s="15"/>
      <c r="U75" s="15"/>
      <c r="V75" s="15"/>
      <c r="W75" s="15"/>
      <c r="X75" s="15"/>
      <c r="Y75" s="15"/>
      <c r="Z75" s="15"/>
      <c r="AA75" s="15"/>
      <c r="AB75" s="15"/>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row>
    <row r="76" spans="1:59" ht="15" customHeight="1">
      <c r="A76" s="3"/>
      <c r="B76" s="3"/>
      <c r="C76" s="13"/>
      <c r="D76" s="13"/>
      <c r="E76" s="13"/>
      <c r="F76" s="13"/>
      <c r="G76" s="66"/>
      <c r="H76" s="15"/>
      <c r="I76" s="15"/>
      <c r="J76" s="15"/>
      <c r="K76" s="15"/>
      <c r="L76" s="15"/>
      <c r="M76" s="15"/>
      <c r="N76" s="15"/>
      <c r="O76" s="15"/>
      <c r="P76" s="15"/>
      <c r="Q76" s="15"/>
      <c r="R76" s="15"/>
      <c r="S76" s="15"/>
      <c r="T76" s="15"/>
      <c r="U76" s="15"/>
      <c r="V76" s="15"/>
      <c r="W76" s="15"/>
      <c r="X76" s="15"/>
      <c r="Y76" s="15"/>
      <c r="Z76" s="15"/>
      <c r="AA76" s="15"/>
      <c r="AB76" s="15"/>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row>
    <row r="77" spans="1:59" ht="15" customHeight="1">
      <c r="A77" s="3"/>
      <c r="B77" s="3"/>
      <c r="C77" s="5"/>
      <c r="D77" s="13"/>
      <c r="E77" s="13"/>
      <c r="F77" s="13"/>
      <c r="G77" s="66"/>
      <c r="H77" s="15"/>
      <c r="I77" s="15"/>
      <c r="J77" s="15"/>
      <c r="K77" s="15"/>
      <c r="L77" s="15"/>
      <c r="M77" s="15"/>
      <c r="N77" s="15"/>
      <c r="O77" s="15"/>
      <c r="P77" s="15"/>
      <c r="Q77" s="15"/>
      <c r="R77" s="15"/>
      <c r="S77" s="15"/>
      <c r="T77" s="15"/>
      <c r="U77" s="15"/>
      <c r="V77" s="15"/>
      <c r="W77" s="15"/>
      <c r="X77" s="15"/>
      <c r="Y77" s="15"/>
      <c r="Z77" s="15"/>
      <c r="AA77" s="15"/>
      <c r="AB77" s="15"/>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row>
    <row r="78" spans="1:59" ht="15.75">
      <c r="A78" s="73"/>
      <c r="C78" s="5"/>
      <c r="D78" s="66"/>
      <c r="E78" s="66"/>
      <c r="F78" s="66"/>
      <c r="G78" s="13"/>
      <c r="H78" s="15"/>
      <c r="I78" s="15"/>
      <c r="J78" s="15"/>
      <c r="K78" s="15"/>
      <c r="L78" s="15"/>
      <c r="M78" s="15"/>
      <c r="N78" s="15"/>
      <c r="O78" s="15"/>
      <c r="P78" s="15"/>
      <c r="Q78" s="15"/>
      <c r="R78" s="15"/>
      <c r="S78" s="15"/>
      <c r="T78" s="15"/>
      <c r="U78" s="15"/>
      <c r="V78" s="15"/>
      <c r="W78" s="15"/>
      <c r="X78" s="15"/>
      <c r="Y78" s="15"/>
      <c r="Z78" s="15"/>
      <c r="AA78" s="15"/>
      <c r="AB78" s="15"/>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row>
    <row r="79" spans="1:59" ht="15.75">
      <c r="A79" s="73"/>
      <c r="B79" s="73"/>
      <c r="C79" s="81"/>
      <c r="D79" s="81"/>
      <c r="E79" s="81"/>
      <c r="F79" s="81"/>
      <c r="G79" s="13"/>
      <c r="H79" s="15"/>
      <c r="I79" s="15"/>
      <c r="J79" s="15"/>
      <c r="K79" s="15"/>
      <c r="L79" s="15"/>
      <c r="M79" s="15"/>
      <c r="N79" s="15"/>
      <c r="O79" s="15"/>
      <c r="P79" s="15"/>
      <c r="Q79" s="15"/>
      <c r="R79" s="15"/>
      <c r="S79" s="15"/>
      <c r="T79" s="15"/>
      <c r="U79" s="15"/>
      <c r="V79" s="15"/>
      <c r="W79" s="15"/>
      <c r="X79" s="15"/>
      <c r="Y79" s="15"/>
      <c r="Z79" s="15"/>
      <c r="AA79" s="15"/>
      <c r="AB79" s="15"/>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row>
    <row r="80" spans="1:59" ht="15.75">
      <c r="A80" s="73"/>
      <c r="B80" s="73"/>
      <c r="C80" s="66"/>
      <c r="D80" s="66"/>
      <c r="E80" s="66"/>
      <c r="F80" s="66"/>
      <c r="G80" s="81"/>
      <c r="H80" s="15"/>
      <c r="I80" s="15"/>
      <c r="J80" s="15"/>
      <c r="K80" s="15"/>
      <c r="L80" s="15"/>
      <c r="M80" s="15"/>
      <c r="N80" s="15"/>
      <c r="O80" s="15"/>
      <c r="P80" s="15"/>
      <c r="Q80" s="15"/>
      <c r="R80" s="15"/>
      <c r="S80" s="15"/>
      <c r="T80" s="15"/>
      <c r="U80" s="15"/>
      <c r="V80" s="15"/>
      <c r="W80" s="15"/>
      <c r="X80" s="15"/>
      <c r="Y80" s="15"/>
      <c r="Z80" s="15"/>
      <c r="AA80" s="15"/>
      <c r="AB80" s="15"/>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row>
    <row r="81" spans="1:59" ht="15.75">
      <c r="A81" s="73"/>
      <c r="B81" s="73"/>
      <c r="C81" s="81"/>
      <c r="D81" s="81"/>
      <c r="E81" s="81"/>
      <c r="F81" s="81"/>
      <c r="G81" s="81"/>
      <c r="H81" s="15"/>
      <c r="I81" s="15"/>
      <c r="J81" s="15"/>
      <c r="K81" s="15"/>
      <c r="L81" s="15"/>
      <c r="M81" s="15"/>
      <c r="N81" s="15"/>
      <c r="O81" s="15"/>
      <c r="P81" s="15"/>
      <c r="Q81" s="15"/>
      <c r="R81" s="15"/>
      <c r="S81" s="15"/>
      <c r="T81" s="15"/>
      <c r="U81" s="15"/>
      <c r="V81" s="15"/>
      <c r="W81" s="15"/>
      <c r="X81" s="15"/>
      <c r="Y81" s="15"/>
      <c r="Z81" s="15"/>
      <c r="AA81" s="15"/>
      <c r="AB81" s="15"/>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row>
    <row r="82" spans="1:59" ht="15.75">
      <c r="A82" s="73"/>
      <c r="C82" s="66"/>
      <c r="D82" s="66"/>
      <c r="E82" s="66"/>
      <c r="F82" s="66"/>
      <c r="G82" s="81"/>
      <c r="H82" s="15"/>
      <c r="I82" s="15"/>
      <c r="J82" s="15"/>
      <c r="K82" s="15"/>
      <c r="L82" s="15"/>
      <c r="M82" s="15"/>
      <c r="N82" s="15"/>
      <c r="O82" s="15"/>
      <c r="P82" s="15"/>
      <c r="Q82" s="15"/>
      <c r="R82" s="15"/>
      <c r="S82" s="15"/>
      <c r="T82" s="15"/>
      <c r="U82" s="15"/>
      <c r="V82" s="15"/>
      <c r="W82" s="15"/>
      <c r="X82" s="15"/>
      <c r="Y82" s="15"/>
      <c r="Z82" s="15"/>
      <c r="AA82" s="15"/>
      <c r="AB82" s="15"/>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row>
    <row r="83" spans="1:59" ht="15.75">
      <c r="A83" s="3"/>
      <c r="B83" s="3"/>
      <c r="C83" s="13"/>
      <c r="D83" s="13"/>
      <c r="E83" s="13"/>
      <c r="F83" s="13"/>
      <c r="G83" s="81"/>
      <c r="H83" s="15"/>
      <c r="I83" s="15"/>
      <c r="J83" s="15"/>
      <c r="K83" s="15"/>
      <c r="L83" s="15"/>
      <c r="M83" s="15"/>
      <c r="N83" s="15"/>
      <c r="O83" s="15"/>
      <c r="P83" s="15"/>
      <c r="Q83" s="15"/>
      <c r="R83" s="15"/>
      <c r="S83" s="15"/>
      <c r="T83" s="15"/>
      <c r="U83" s="15"/>
      <c r="V83" s="15"/>
      <c r="W83" s="15"/>
      <c r="X83" s="15"/>
      <c r="Y83" s="15"/>
      <c r="Z83" s="15"/>
      <c r="AA83" s="15"/>
      <c r="AB83" s="15"/>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row>
    <row r="84" spans="1:59" ht="15.75">
      <c r="A84" s="3"/>
      <c r="B84" s="3"/>
      <c r="C84" s="13"/>
      <c r="D84" s="13"/>
      <c r="E84" s="13"/>
      <c r="F84" s="13"/>
      <c r="G84" s="81"/>
      <c r="H84" s="15"/>
      <c r="I84" s="15"/>
      <c r="J84" s="15"/>
      <c r="K84" s="15"/>
      <c r="L84" s="15"/>
      <c r="M84" s="15"/>
      <c r="N84" s="15"/>
      <c r="O84" s="15"/>
      <c r="P84" s="15"/>
      <c r="Q84" s="15"/>
      <c r="R84" s="15"/>
      <c r="S84" s="15"/>
      <c r="T84" s="15"/>
      <c r="U84" s="15"/>
      <c r="V84" s="15"/>
      <c r="W84" s="15"/>
      <c r="X84" s="15"/>
      <c r="Y84" s="15"/>
      <c r="Z84" s="15"/>
      <c r="AA84" s="15"/>
      <c r="AB84" s="15"/>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row>
    <row r="85" spans="1:59" ht="15.75">
      <c r="A85" s="3"/>
      <c r="B85" s="3"/>
      <c r="C85" s="13"/>
      <c r="D85" s="13"/>
      <c r="E85" s="13"/>
      <c r="F85" s="13"/>
      <c r="G85" s="13"/>
      <c r="H85" s="15"/>
      <c r="I85" s="15"/>
      <c r="J85" s="15"/>
      <c r="K85" s="15"/>
      <c r="L85" s="15"/>
      <c r="M85" s="15"/>
      <c r="N85" s="15"/>
      <c r="O85" s="15"/>
      <c r="P85" s="15"/>
      <c r="Q85" s="15"/>
      <c r="R85" s="15"/>
      <c r="S85" s="15"/>
      <c r="T85" s="15"/>
      <c r="U85" s="15"/>
      <c r="V85" s="15"/>
      <c r="W85" s="15"/>
      <c r="X85" s="15"/>
      <c r="Y85" s="15"/>
      <c r="Z85" s="15"/>
      <c r="AA85" s="15"/>
      <c r="AB85" s="15"/>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row>
    <row r="86" spans="1:59" ht="15.75">
      <c r="A86" s="3"/>
      <c r="B86" s="3"/>
      <c r="C86" s="13"/>
      <c r="D86" s="13"/>
      <c r="E86" s="13"/>
      <c r="F86" s="13"/>
      <c r="G86" s="13"/>
      <c r="H86" s="15"/>
      <c r="I86" s="15"/>
      <c r="J86" s="15"/>
      <c r="K86" s="15"/>
      <c r="L86" s="15"/>
      <c r="M86" s="15"/>
      <c r="N86" s="15"/>
      <c r="O86" s="15"/>
      <c r="P86" s="15"/>
      <c r="Q86" s="15"/>
      <c r="R86" s="15"/>
      <c r="S86" s="15"/>
      <c r="T86" s="15"/>
      <c r="U86" s="15"/>
      <c r="V86" s="15"/>
      <c r="W86" s="15"/>
      <c r="X86" s="15"/>
      <c r="Y86" s="15"/>
      <c r="Z86" s="15"/>
      <c r="AA86" s="15"/>
      <c r="AB86" s="15"/>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row>
    <row r="87" spans="1:59" ht="15.75">
      <c r="A87" s="3"/>
      <c r="B87" s="3"/>
      <c r="C87" s="13"/>
      <c r="D87" s="13"/>
      <c r="E87" s="13"/>
      <c r="F87" s="13"/>
      <c r="G87" s="13"/>
      <c r="H87" s="15"/>
      <c r="I87" s="15"/>
      <c r="J87" s="15"/>
      <c r="K87" s="15"/>
      <c r="L87" s="15"/>
      <c r="M87" s="15"/>
      <c r="N87" s="15"/>
      <c r="O87" s="15"/>
      <c r="P87" s="15"/>
      <c r="Q87" s="15"/>
      <c r="R87" s="15"/>
      <c r="S87" s="15"/>
      <c r="T87" s="15"/>
      <c r="U87" s="15"/>
      <c r="V87" s="15"/>
      <c r="W87" s="15"/>
      <c r="X87" s="15"/>
      <c r="Y87" s="15"/>
      <c r="Z87" s="15"/>
      <c r="AA87" s="15"/>
      <c r="AB87" s="15"/>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row>
    <row r="88" spans="1:59" ht="15.75">
      <c r="A88" s="3"/>
      <c r="B88" s="3"/>
      <c r="C88" s="3"/>
      <c r="D88" s="3"/>
      <c r="E88" s="3"/>
      <c r="F88" s="3"/>
      <c r="G88" s="3"/>
      <c r="H88" s="15"/>
      <c r="I88" s="15"/>
      <c r="J88" s="15"/>
      <c r="K88" s="15"/>
      <c r="L88" s="15"/>
      <c r="M88" s="15"/>
      <c r="N88" s="15"/>
      <c r="O88" s="15"/>
      <c r="P88" s="15"/>
      <c r="Q88" s="15"/>
      <c r="R88" s="15"/>
      <c r="S88" s="15"/>
      <c r="T88" s="15"/>
      <c r="U88" s="15"/>
      <c r="V88" s="15"/>
      <c r="W88" s="15"/>
      <c r="X88" s="15"/>
      <c r="Y88" s="15"/>
      <c r="Z88" s="15"/>
      <c r="AA88" s="15"/>
      <c r="AB88" s="15"/>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row>
    <row r="89" spans="1:59" ht="15.75">
      <c r="A89" s="3"/>
      <c r="B89" s="3"/>
      <c r="C89" s="3"/>
      <c r="D89" s="3"/>
      <c r="E89" s="3"/>
      <c r="F89" s="3"/>
      <c r="G89" s="3"/>
      <c r="H89" s="15"/>
      <c r="I89" s="15"/>
      <c r="J89" s="15"/>
      <c r="K89" s="15"/>
      <c r="L89" s="15"/>
      <c r="M89" s="15"/>
      <c r="N89" s="15"/>
      <c r="O89" s="15"/>
      <c r="P89" s="15"/>
      <c r="Q89" s="15"/>
      <c r="R89" s="15"/>
      <c r="S89" s="15"/>
      <c r="T89" s="15"/>
      <c r="U89" s="15"/>
      <c r="V89" s="15"/>
      <c r="W89" s="15"/>
      <c r="X89" s="15"/>
      <c r="Y89" s="15"/>
      <c r="Z89" s="15"/>
      <c r="AA89" s="15"/>
      <c r="AB89" s="15"/>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row>
    <row r="90" spans="1:59" ht="15.75">
      <c r="A90" s="3"/>
      <c r="B90" s="3"/>
      <c r="C90" s="3"/>
      <c r="D90" s="3"/>
      <c r="E90" s="3"/>
      <c r="F90" s="3"/>
      <c r="G90" s="3"/>
      <c r="H90" s="15"/>
      <c r="I90" s="15"/>
      <c r="J90" s="15"/>
      <c r="K90" s="15"/>
      <c r="L90" s="15"/>
      <c r="M90" s="15"/>
      <c r="N90" s="15"/>
      <c r="O90" s="15"/>
      <c r="P90" s="15"/>
      <c r="Q90" s="15"/>
      <c r="R90" s="15"/>
      <c r="S90" s="15"/>
      <c r="T90" s="15"/>
      <c r="U90" s="15"/>
      <c r="V90" s="15"/>
      <c r="W90" s="15"/>
      <c r="X90" s="15"/>
      <c r="Y90" s="15"/>
      <c r="Z90" s="15"/>
      <c r="AA90" s="15"/>
      <c r="AB90" s="15"/>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row>
    <row r="91" spans="1:59" ht="15.75">
      <c r="A91" s="3"/>
      <c r="B91" s="3"/>
      <c r="C91" s="3"/>
      <c r="D91" s="3"/>
      <c r="E91" s="3"/>
      <c r="F91" s="3"/>
      <c r="G91" s="3"/>
      <c r="H91" s="15"/>
      <c r="I91" s="15"/>
      <c r="J91" s="15"/>
      <c r="K91" s="15"/>
      <c r="L91" s="15"/>
      <c r="M91" s="15"/>
      <c r="N91" s="15"/>
      <c r="O91" s="15"/>
      <c r="P91" s="15"/>
      <c r="Q91" s="15"/>
      <c r="R91" s="15"/>
      <c r="S91" s="15"/>
      <c r="T91" s="15"/>
      <c r="U91" s="15"/>
      <c r="V91" s="15"/>
      <c r="W91" s="15"/>
      <c r="X91" s="15"/>
      <c r="Y91" s="15"/>
      <c r="Z91" s="15"/>
      <c r="AA91" s="15"/>
      <c r="AB91" s="15"/>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row>
    <row r="92" spans="1:59" ht="15.75">
      <c r="A92" s="3"/>
      <c r="B92" s="3"/>
      <c r="C92" s="3"/>
      <c r="D92" s="3"/>
      <c r="E92" s="3"/>
      <c r="F92" s="3"/>
      <c r="G92" s="3"/>
      <c r="H92" s="15"/>
      <c r="I92" s="15"/>
      <c r="J92" s="15"/>
      <c r="K92" s="15"/>
      <c r="L92" s="15"/>
      <c r="M92" s="15"/>
      <c r="N92" s="15"/>
      <c r="O92" s="15"/>
      <c r="P92" s="15"/>
      <c r="Q92" s="15"/>
      <c r="R92" s="15"/>
      <c r="S92" s="15"/>
      <c r="T92" s="15"/>
      <c r="U92" s="15"/>
      <c r="V92" s="15"/>
      <c r="W92" s="15"/>
      <c r="X92" s="15"/>
      <c r="Y92" s="15"/>
      <c r="Z92" s="15"/>
      <c r="AA92" s="15"/>
      <c r="AB92" s="15"/>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row>
    <row r="93" spans="1:59" ht="15.75">
      <c r="A93" s="3"/>
      <c r="B93" s="3"/>
      <c r="C93" s="3"/>
      <c r="D93" s="3"/>
      <c r="E93" s="3"/>
      <c r="F93" s="3"/>
      <c r="G93" s="3"/>
      <c r="H93" s="15"/>
      <c r="I93" s="15"/>
      <c r="J93" s="15"/>
      <c r="K93" s="15"/>
      <c r="L93" s="15"/>
      <c r="M93" s="15"/>
      <c r="N93" s="15"/>
      <c r="O93" s="15"/>
      <c r="P93" s="15"/>
      <c r="Q93" s="15"/>
      <c r="R93" s="15"/>
      <c r="S93" s="15"/>
      <c r="T93" s="15"/>
      <c r="U93" s="15"/>
      <c r="V93" s="15"/>
      <c r="W93" s="15"/>
      <c r="X93" s="15"/>
      <c r="Y93" s="15"/>
      <c r="Z93" s="15"/>
      <c r="AA93" s="15"/>
      <c r="AB93" s="15"/>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row>
    <row r="94" spans="1:59" ht="15.75">
      <c r="A94" s="3"/>
      <c r="B94" s="3"/>
      <c r="C94" s="3"/>
      <c r="D94" s="3"/>
      <c r="E94" s="3"/>
      <c r="F94" s="3"/>
      <c r="G94" s="3"/>
      <c r="H94" s="15"/>
      <c r="I94" s="15"/>
      <c r="J94" s="15"/>
      <c r="K94" s="15"/>
      <c r="L94" s="15"/>
      <c r="M94" s="15"/>
      <c r="N94" s="15"/>
      <c r="O94" s="15"/>
      <c r="P94" s="15"/>
      <c r="Q94" s="15"/>
      <c r="R94" s="15"/>
      <c r="S94" s="15"/>
      <c r="T94" s="15"/>
      <c r="U94" s="15"/>
      <c r="V94" s="15"/>
      <c r="W94" s="15"/>
      <c r="X94" s="15"/>
      <c r="Y94" s="15"/>
      <c r="Z94" s="15"/>
      <c r="AA94" s="15"/>
      <c r="AB94" s="15"/>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row>
    <row r="95" spans="1:59" ht="15.75">
      <c r="A95" s="3"/>
      <c r="B95" s="3"/>
      <c r="C95" s="3"/>
      <c r="D95" s="3"/>
      <c r="E95" s="3"/>
      <c r="F95" s="3"/>
      <c r="G95" s="3"/>
      <c r="H95" s="15"/>
      <c r="I95" s="15"/>
      <c r="J95" s="15"/>
      <c r="K95" s="15"/>
      <c r="L95" s="15"/>
      <c r="M95" s="15"/>
      <c r="N95" s="15"/>
      <c r="O95" s="15"/>
      <c r="P95" s="15"/>
      <c r="Q95" s="15"/>
      <c r="R95" s="15"/>
      <c r="S95" s="15"/>
      <c r="T95" s="15"/>
      <c r="U95" s="15"/>
      <c r="V95" s="15"/>
      <c r="W95" s="15"/>
      <c r="X95" s="15"/>
      <c r="Y95" s="15"/>
      <c r="Z95" s="15"/>
      <c r="AA95" s="15"/>
      <c r="AB95" s="15"/>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row>
    <row r="96" spans="1:59" ht="15.75">
      <c r="A96" s="3"/>
      <c r="B96" s="3"/>
      <c r="C96" s="3"/>
      <c r="D96" s="3"/>
      <c r="E96" s="3"/>
      <c r="F96" s="3"/>
      <c r="G96" s="3"/>
      <c r="H96" s="15"/>
      <c r="I96" s="15"/>
      <c r="J96" s="15"/>
      <c r="K96" s="15"/>
      <c r="L96" s="15"/>
      <c r="M96" s="15"/>
      <c r="N96" s="15"/>
      <c r="O96" s="15"/>
      <c r="P96" s="15"/>
      <c r="Q96" s="15"/>
      <c r="R96" s="15"/>
      <c r="S96" s="15"/>
      <c r="T96" s="15"/>
      <c r="U96" s="15"/>
      <c r="V96" s="15"/>
      <c r="W96" s="15"/>
      <c r="X96" s="15"/>
      <c r="Y96" s="15"/>
      <c r="Z96" s="15"/>
      <c r="AA96" s="15"/>
      <c r="AB96" s="15"/>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row>
    <row r="97" spans="1:59" ht="15.75">
      <c r="A97" s="3"/>
      <c r="B97" s="3"/>
      <c r="C97" s="3"/>
      <c r="D97" s="3"/>
      <c r="E97" s="3"/>
      <c r="F97" s="3"/>
      <c r="G97" s="3"/>
      <c r="H97" s="15"/>
      <c r="I97" s="15"/>
      <c r="J97" s="15"/>
      <c r="K97" s="15"/>
      <c r="L97" s="15"/>
      <c r="M97" s="15"/>
      <c r="N97" s="15"/>
      <c r="O97" s="15"/>
      <c r="P97" s="15"/>
      <c r="Q97" s="15"/>
      <c r="R97" s="15"/>
      <c r="S97" s="15"/>
      <c r="T97" s="15"/>
      <c r="U97" s="15"/>
      <c r="V97" s="15"/>
      <c r="W97" s="15"/>
      <c r="X97" s="15"/>
      <c r="Y97" s="15"/>
      <c r="Z97" s="15"/>
      <c r="AA97" s="15"/>
      <c r="AB97" s="15"/>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row>
    <row r="98" spans="1:59" ht="15.75">
      <c r="A98" s="3"/>
      <c r="B98" s="3"/>
      <c r="C98" s="3"/>
      <c r="D98" s="3"/>
      <c r="E98" s="3"/>
      <c r="F98" s="3"/>
      <c r="G98" s="3"/>
      <c r="H98" s="15"/>
      <c r="I98" s="15"/>
      <c r="J98" s="15"/>
      <c r="K98" s="15"/>
      <c r="L98" s="15"/>
      <c r="M98" s="15"/>
      <c r="N98" s="15"/>
      <c r="O98" s="15"/>
      <c r="P98" s="15"/>
      <c r="Q98" s="15"/>
      <c r="R98" s="15"/>
      <c r="S98" s="15"/>
      <c r="T98" s="15"/>
      <c r="U98" s="15"/>
      <c r="V98" s="15"/>
      <c r="W98" s="15"/>
      <c r="X98" s="15"/>
      <c r="Y98" s="15"/>
      <c r="Z98" s="15"/>
      <c r="AA98" s="15"/>
      <c r="AB98" s="15"/>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row>
    <row r="99" spans="1:59" ht="15.75">
      <c r="A99" s="3"/>
      <c r="B99" s="3"/>
      <c r="C99" s="3"/>
      <c r="D99" s="3"/>
      <c r="E99" s="3"/>
      <c r="F99" s="3"/>
      <c r="G99" s="3"/>
      <c r="H99" s="15"/>
      <c r="I99" s="15"/>
      <c r="J99" s="15"/>
      <c r="K99" s="15"/>
      <c r="L99" s="15"/>
      <c r="M99" s="15"/>
      <c r="N99" s="15"/>
      <c r="O99" s="15"/>
      <c r="P99" s="15"/>
      <c r="Q99" s="15"/>
      <c r="R99" s="15"/>
      <c r="S99" s="15"/>
      <c r="T99" s="15"/>
      <c r="U99" s="15"/>
      <c r="V99" s="15"/>
      <c r="W99" s="15"/>
      <c r="X99" s="15"/>
      <c r="Y99" s="15"/>
      <c r="Z99" s="15"/>
      <c r="AA99" s="15"/>
      <c r="AB99" s="15"/>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row>
    <row r="100" spans="1:59" ht="15.75">
      <c r="A100" s="3"/>
      <c r="B100" s="3"/>
      <c r="C100" s="3"/>
      <c r="D100" s="3"/>
      <c r="E100" s="3"/>
      <c r="F100" s="3"/>
      <c r="G100" s="3"/>
      <c r="H100" s="15"/>
      <c r="I100" s="15"/>
      <c r="J100" s="15"/>
      <c r="K100" s="15"/>
      <c r="L100" s="15"/>
      <c r="M100" s="15"/>
      <c r="N100" s="15"/>
      <c r="O100" s="15"/>
      <c r="P100" s="15"/>
      <c r="Q100" s="15"/>
      <c r="R100" s="15"/>
      <c r="S100" s="15"/>
      <c r="T100" s="15"/>
      <c r="U100" s="15"/>
      <c r="V100" s="15"/>
      <c r="W100" s="15"/>
      <c r="X100" s="15"/>
      <c r="Y100" s="15"/>
      <c r="Z100" s="15"/>
      <c r="AA100" s="15"/>
      <c r="AB100" s="15"/>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row>
    <row r="101" spans="1:59" ht="15.75">
      <c r="A101" s="3"/>
      <c r="B101" s="3"/>
      <c r="C101" s="3"/>
      <c r="D101" s="3"/>
      <c r="E101" s="3"/>
      <c r="F101" s="3"/>
      <c r="G101" s="3"/>
      <c r="H101" s="15"/>
      <c r="I101" s="15"/>
      <c r="J101" s="15"/>
      <c r="K101" s="15"/>
      <c r="L101" s="15"/>
      <c r="M101" s="15"/>
      <c r="N101" s="15"/>
      <c r="O101" s="15"/>
      <c r="P101" s="15"/>
      <c r="Q101" s="15"/>
      <c r="R101" s="15"/>
      <c r="S101" s="15"/>
      <c r="T101" s="15"/>
      <c r="U101" s="15"/>
      <c r="V101" s="15"/>
      <c r="W101" s="15"/>
      <c r="X101" s="15"/>
      <c r="Y101" s="15"/>
      <c r="Z101" s="15"/>
      <c r="AA101" s="15"/>
      <c r="AB101" s="15"/>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row>
    <row r="102" spans="1:59" ht="15.75">
      <c r="A102" s="3"/>
      <c r="B102" s="3"/>
      <c r="C102" s="3"/>
      <c r="D102" s="3"/>
      <c r="E102" s="3"/>
      <c r="F102" s="3"/>
      <c r="G102" s="3"/>
      <c r="H102" s="15"/>
      <c r="I102" s="15"/>
      <c r="J102" s="15"/>
      <c r="K102" s="15"/>
      <c r="L102" s="15"/>
      <c r="M102" s="15"/>
      <c r="N102" s="15"/>
      <c r="O102" s="15"/>
      <c r="P102" s="15"/>
      <c r="Q102" s="15"/>
      <c r="R102" s="15"/>
      <c r="S102" s="15"/>
      <c r="T102" s="15"/>
      <c r="U102" s="15"/>
      <c r="V102" s="15"/>
      <c r="W102" s="15"/>
      <c r="X102" s="15"/>
      <c r="Y102" s="15"/>
      <c r="Z102" s="15"/>
      <c r="AA102" s="15"/>
      <c r="AB102" s="15"/>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row>
    <row r="103" spans="1:59" ht="15.75">
      <c r="A103" s="3"/>
      <c r="B103" s="3"/>
      <c r="C103" s="3"/>
      <c r="D103" s="3"/>
      <c r="E103" s="3"/>
      <c r="F103" s="3"/>
      <c r="G103" s="3"/>
      <c r="H103" s="15"/>
      <c r="I103" s="15"/>
      <c r="J103" s="15"/>
      <c r="K103" s="15"/>
      <c r="L103" s="15"/>
      <c r="M103" s="15"/>
      <c r="N103" s="15"/>
      <c r="O103" s="15"/>
      <c r="P103" s="15"/>
      <c r="Q103" s="15"/>
      <c r="R103" s="15"/>
      <c r="S103" s="15"/>
      <c r="T103" s="15"/>
      <c r="U103" s="15"/>
      <c r="V103" s="15"/>
      <c r="W103" s="15"/>
      <c r="X103" s="15"/>
      <c r="Y103" s="15"/>
      <c r="Z103" s="15"/>
      <c r="AA103" s="15"/>
      <c r="AB103" s="15"/>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row>
    <row r="104" spans="1:59" ht="15.75">
      <c r="A104" s="3"/>
      <c r="B104" s="3"/>
      <c r="C104" s="3"/>
      <c r="D104" s="3"/>
      <c r="E104" s="3"/>
      <c r="F104" s="3"/>
      <c r="G104" s="3"/>
      <c r="H104" s="15"/>
      <c r="I104" s="15"/>
      <c r="J104" s="15"/>
      <c r="K104" s="15"/>
      <c r="L104" s="15"/>
      <c r="M104" s="15"/>
      <c r="N104" s="15"/>
      <c r="O104" s="15"/>
      <c r="P104" s="15"/>
      <c r="Q104" s="15"/>
      <c r="R104" s="15"/>
      <c r="S104" s="15"/>
      <c r="T104" s="15"/>
      <c r="U104" s="15"/>
      <c r="V104" s="15"/>
      <c r="W104" s="15"/>
      <c r="X104" s="15"/>
      <c r="Y104" s="15"/>
      <c r="Z104" s="15"/>
      <c r="AA104" s="15"/>
      <c r="AB104" s="15"/>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row>
    <row r="105" spans="1:59" ht="15.75">
      <c r="A105" s="3"/>
      <c r="B105" s="3"/>
      <c r="C105" s="3"/>
      <c r="D105" s="3"/>
      <c r="E105" s="3"/>
      <c r="F105" s="3"/>
      <c r="G105" s="3"/>
      <c r="H105" s="15"/>
      <c r="I105" s="15"/>
      <c r="J105" s="15"/>
      <c r="K105" s="15"/>
      <c r="L105" s="15"/>
      <c r="M105" s="15"/>
      <c r="N105" s="15"/>
      <c r="O105" s="15"/>
      <c r="P105" s="15"/>
      <c r="Q105" s="15"/>
      <c r="R105" s="15"/>
      <c r="S105" s="15"/>
      <c r="T105" s="15"/>
      <c r="U105" s="15"/>
      <c r="V105" s="15"/>
      <c r="W105" s="15"/>
      <c r="X105" s="15"/>
      <c r="Y105" s="15"/>
      <c r="Z105" s="15"/>
      <c r="AA105" s="15"/>
      <c r="AB105" s="15"/>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row>
    <row r="106" spans="1:59" ht="15.75">
      <c r="A106" s="3"/>
      <c r="B106" s="3"/>
      <c r="C106" s="3"/>
      <c r="D106" s="3"/>
      <c r="E106" s="3"/>
      <c r="F106" s="3"/>
      <c r="G106" s="3"/>
      <c r="H106" s="15"/>
      <c r="I106" s="15"/>
      <c r="J106" s="15"/>
      <c r="K106" s="15"/>
      <c r="L106" s="15"/>
      <c r="M106" s="15"/>
      <c r="N106" s="15"/>
      <c r="O106" s="15"/>
      <c r="P106" s="15"/>
      <c r="Q106" s="15"/>
      <c r="R106" s="15"/>
      <c r="S106" s="15"/>
      <c r="T106" s="15"/>
      <c r="U106" s="15"/>
      <c r="V106" s="15"/>
      <c r="W106" s="15"/>
      <c r="X106" s="15"/>
      <c r="Y106" s="15"/>
      <c r="Z106" s="15"/>
      <c r="AA106" s="15"/>
      <c r="AB106" s="15"/>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row>
    <row r="107" spans="1:59" ht="15.75">
      <c r="A107" s="3"/>
      <c r="B107" s="3"/>
      <c r="C107" s="3"/>
      <c r="D107" s="3"/>
      <c r="E107" s="3"/>
      <c r="F107" s="3"/>
      <c r="G107" s="3"/>
      <c r="H107" s="15"/>
      <c r="I107" s="15"/>
      <c r="J107" s="15"/>
      <c r="K107" s="15"/>
      <c r="L107" s="15"/>
      <c r="M107" s="15"/>
      <c r="N107" s="15"/>
      <c r="O107" s="15"/>
      <c r="P107" s="15"/>
      <c r="Q107" s="15"/>
      <c r="R107" s="15"/>
      <c r="S107" s="15"/>
      <c r="T107" s="15"/>
      <c r="U107" s="15"/>
      <c r="V107" s="15"/>
      <c r="W107" s="15"/>
      <c r="X107" s="15"/>
      <c r="Y107" s="15"/>
      <c r="Z107" s="15"/>
      <c r="AA107" s="15"/>
      <c r="AB107" s="15"/>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row>
    <row r="108" spans="1:59" ht="15.75">
      <c r="A108" s="3"/>
      <c r="B108" s="3"/>
      <c r="C108" s="3"/>
      <c r="D108" s="3"/>
      <c r="E108" s="3"/>
      <c r="F108" s="3"/>
      <c r="G108" s="3"/>
      <c r="H108" s="15"/>
      <c r="I108" s="15"/>
      <c r="J108" s="15"/>
      <c r="K108" s="15"/>
      <c r="L108" s="15"/>
      <c r="M108" s="15"/>
      <c r="N108" s="15"/>
      <c r="O108" s="15"/>
      <c r="P108" s="15"/>
      <c r="Q108" s="15"/>
      <c r="R108" s="15"/>
      <c r="S108" s="15"/>
      <c r="T108" s="15"/>
      <c r="U108" s="15"/>
      <c r="V108" s="15"/>
      <c r="W108" s="15"/>
      <c r="X108" s="15"/>
      <c r="Y108" s="15"/>
      <c r="Z108" s="15"/>
      <c r="AA108" s="15"/>
      <c r="AB108" s="15"/>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row>
    <row r="109" spans="1:59" ht="15.75">
      <c r="A109" s="3"/>
      <c r="B109" s="3"/>
      <c r="C109" s="3"/>
      <c r="D109" s="3"/>
      <c r="E109" s="3"/>
      <c r="F109" s="3"/>
      <c r="G109" s="3"/>
      <c r="H109" s="15"/>
      <c r="I109" s="15"/>
      <c r="J109" s="15"/>
      <c r="K109" s="15"/>
      <c r="L109" s="15"/>
      <c r="M109" s="15"/>
      <c r="N109" s="15"/>
      <c r="O109" s="15"/>
      <c r="P109" s="15"/>
      <c r="Q109" s="15"/>
      <c r="R109" s="15"/>
      <c r="S109" s="15"/>
      <c r="T109" s="15"/>
      <c r="U109" s="15"/>
      <c r="V109" s="15"/>
      <c r="W109" s="15"/>
      <c r="X109" s="15"/>
      <c r="Y109" s="15"/>
      <c r="Z109" s="15"/>
      <c r="AA109" s="15"/>
      <c r="AB109" s="15"/>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row>
    <row r="110" spans="1:59" ht="15.75">
      <c r="A110" s="3"/>
      <c r="B110" s="3"/>
      <c r="C110" s="3"/>
      <c r="D110" s="3"/>
      <c r="E110" s="3"/>
      <c r="F110" s="3"/>
      <c r="G110" s="3"/>
      <c r="H110" s="15"/>
      <c r="I110" s="15"/>
      <c r="J110" s="15"/>
      <c r="K110" s="15"/>
      <c r="L110" s="15"/>
      <c r="M110" s="15"/>
      <c r="N110" s="15"/>
      <c r="O110" s="15"/>
      <c r="P110" s="15"/>
      <c r="Q110" s="15"/>
      <c r="R110" s="15"/>
      <c r="S110" s="15"/>
      <c r="T110" s="15"/>
      <c r="U110" s="15"/>
      <c r="V110" s="15"/>
      <c r="W110" s="15"/>
      <c r="X110" s="15"/>
      <c r="Y110" s="15"/>
      <c r="Z110" s="15"/>
      <c r="AA110" s="15"/>
      <c r="AB110" s="15"/>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row>
    <row r="111" spans="1:59" ht="15.75">
      <c r="A111" s="3"/>
      <c r="B111" s="3"/>
      <c r="C111" s="3"/>
      <c r="D111" s="3"/>
      <c r="E111" s="3"/>
      <c r="F111" s="3"/>
      <c r="G111" s="3"/>
      <c r="H111" s="15"/>
      <c r="I111" s="15"/>
      <c r="J111" s="15"/>
      <c r="K111" s="15"/>
      <c r="L111" s="15"/>
      <c r="M111" s="15"/>
      <c r="N111" s="15"/>
      <c r="O111" s="15"/>
      <c r="P111" s="15"/>
      <c r="Q111" s="15"/>
      <c r="R111" s="15"/>
      <c r="S111" s="15"/>
      <c r="T111" s="15"/>
      <c r="U111" s="15"/>
      <c r="V111" s="15"/>
      <c r="W111" s="15"/>
      <c r="X111" s="15"/>
      <c r="Y111" s="15"/>
      <c r="Z111" s="15"/>
      <c r="AA111" s="15"/>
      <c r="AB111" s="15"/>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row>
    <row r="112" spans="1:59" ht="15.75">
      <c r="A112" s="3"/>
      <c r="B112" s="3"/>
      <c r="C112" s="3"/>
      <c r="D112" s="3"/>
      <c r="E112" s="3"/>
      <c r="F112" s="3"/>
      <c r="G112" s="3"/>
      <c r="H112" s="15"/>
      <c r="I112" s="15"/>
      <c r="J112" s="15"/>
      <c r="K112" s="15"/>
      <c r="L112" s="15"/>
      <c r="M112" s="15"/>
      <c r="N112" s="15"/>
      <c r="O112" s="15"/>
      <c r="P112" s="15"/>
      <c r="Q112" s="15"/>
      <c r="R112" s="15"/>
      <c r="S112" s="15"/>
      <c r="T112" s="15"/>
      <c r="U112" s="15"/>
      <c r="V112" s="15"/>
      <c r="W112" s="15"/>
      <c r="X112" s="15"/>
      <c r="Y112" s="15"/>
      <c r="Z112" s="15"/>
      <c r="AA112" s="15"/>
      <c r="AB112" s="15"/>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row>
    <row r="113" spans="1:59" ht="15.75">
      <c r="A113" s="3"/>
      <c r="B113" s="3"/>
      <c r="C113" s="3"/>
      <c r="D113" s="3"/>
      <c r="E113" s="3"/>
      <c r="F113" s="3"/>
      <c r="G113" s="3"/>
      <c r="H113" s="15"/>
      <c r="I113" s="15"/>
      <c r="J113" s="15"/>
      <c r="K113" s="15"/>
      <c r="L113" s="15"/>
      <c r="M113" s="15"/>
      <c r="N113" s="15"/>
      <c r="O113" s="15"/>
      <c r="P113" s="15"/>
      <c r="Q113" s="15"/>
      <c r="R113" s="15"/>
      <c r="S113" s="15"/>
      <c r="T113" s="15"/>
      <c r="U113" s="15"/>
      <c r="V113" s="15"/>
      <c r="W113" s="15"/>
      <c r="X113" s="15"/>
      <c r="Y113" s="15"/>
      <c r="Z113" s="15"/>
      <c r="AA113" s="15"/>
      <c r="AB113" s="15"/>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row>
    <row r="114" spans="1:59" ht="15.75">
      <c r="A114" s="3"/>
      <c r="B114" s="3"/>
      <c r="C114" s="3"/>
      <c r="D114" s="3"/>
      <c r="E114" s="3"/>
      <c r="F114" s="3"/>
      <c r="G114" s="3"/>
      <c r="H114" s="15"/>
      <c r="I114" s="15"/>
      <c r="J114" s="15"/>
      <c r="K114" s="15"/>
      <c r="L114" s="15"/>
      <c r="M114" s="15"/>
      <c r="N114" s="15"/>
      <c r="O114" s="15"/>
      <c r="P114" s="15"/>
      <c r="Q114" s="15"/>
      <c r="R114" s="15"/>
      <c r="S114" s="15"/>
      <c r="T114" s="15"/>
      <c r="U114" s="15"/>
      <c r="V114" s="15"/>
      <c r="W114" s="15"/>
      <c r="X114" s="15"/>
      <c r="Y114" s="15"/>
      <c r="Z114" s="15"/>
      <c r="AA114" s="15"/>
      <c r="AB114" s="15"/>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row>
    <row r="115" spans="1:59" ht="15.75">
      <c r="A115" s="3"/>
      <c r="B115" s="3"/>
      <c r="C115" s="3"/>
      <c r="D115" s="3"/>
      <c r="E115" s="3"/>
      <c r="F115" s="3"/>
      <c r="G115" s="3"/>
      <c r="H115" s="15"/>
      <c r="I115" s="15"/>
      <c r="J115" s="15"/>
      <c r="K115" s="15"/>
      <c r="L115" s="15"/>
      <c r="M115" s="15"/>
      <c r="N115" s="15"/>
      <c r="O115" s="15"/>
      <c r="P115" s="15"/>
      <c r="Q115" s="15"/>
      <c r="R115" s="15"/>
      <c r="S115" s="15"/>
      <c r="T115" s="15"/>
      <c r="U115" s="15"/>
      <c r="V115" s="15"/>
      <c r="W115" s="15"/>
      <c r="X115" s="15"/>
      <c r="Y115" s="15"/>
      <c r="Z115" s="15"/>
      <c r="AA115" s="15"/>
      <c r="AB115" s="15"/>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row>
    <row r="116" spans="1:59" ht="15.75">
      <c r="A116" s="3"/>
      <c r="B116" s="3"/>
      <c r="C116" s="3"/>
      <c r="D116" s="3"/>
      <c r="E116" s="3"/>
      <c r="F116" s="3"/>
      <c r="G116" s="3"/>
      <c r="H116" s="15"/>
      <c r="I116" s="15"/>
      <c r="J116" s="15"/>
      <c r="K116" s="15"/>
      <c r="L116" s="15"/>
      <c r="M116" s="15"/>
      <c r="N116" s="15"/>
      <c r="O116" s="15"/>
      <c r="P116" s="15"/>
      <c r="Q116" s="15"/>
      <c r="R116" s="15"/>
      <c r="S116" s="15"/>
      <c r="T116" s="15"/>
      <c r="U116" s="15"/>
      <c r="V116" s="15"/>
      <c r="W116" s="15"/>
      <c r="X116" s="15"/>
      <c r="Y116" s="15"/>
      <c r="Z116" s="15"/>
      <c r="AA116" s="15"/>
      <c r="AB116" s="15"/>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row>
    <row r="117" spans="1:59" ht="15.75">
      <c r="A117" s="3"/>
      <c r="B117" s="3"/>
      <c r="C117" s="3"/>
      <c r="D117" s="3"/>
      <c r="E117" s="3"/>
      <c r="F117" s="3"/>
      <c r="G117" s="3"/>
      <c r="H117" s="15"/>
      <c r="I117" s="15"/>
      <c r="J117" s="15"/>
      <c r="K117" s="15"/>
      <c r="L117" s="15"/>
      <c r="M117" s="15"/>
      <c r="N117" s="15"/>
      <c r="O117" s="15"/>
      <c r="P117" s="15"/>
      <c r="Q117" s="15"/>
      <c r="R117" s="15"/>
      <c r="S117" s="15"/>
      <c r="T117" s="15"/>
      <c r="U117" s="15"/>
      <c r="V117" s="15"/>
      <c r="W117" s="15"/>
      <c r="X117" s="15"/>
      <c r="Y117" s="15"/>
      <c r="Z117" s="15"/>
      <c r="AA117" s="15"/>
      <c r="AB117" s="15"/>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row>
    <row r="118" spans="1:59" ht="15.75">
      <c r="A118" s="3"/>
      <c r="B118" s="3"/>
      <c r="C118" s="3"/>
      <c r="D118" s="3"/>
      <c r="E118" s="3"/>
      <c r="F118" s="3"/>
      <c r="G118" s="3"/>
      <c r="H118" s="15"/>
      <c r="I118" s="15"/>
      <c r="J118" s="15"/>
      <c r="K118" s="15"/>
      <c r="L118" s="15"/>
      <c r="M118" s="15"/>
      <c r="N118" s="15"/>
      <c r="O118" s="15"/>
      <c r="P118" s="15"/>
      <c r="Q118" s="15"/>
      <c r="R118" s="15"/>
      <c r="S118" s="15"/>
      <c r="T118" s="15"/>
      <c r="U118" s="15"/>
      <c r="V118" s="15"/>
      <c r="W118" s="15"/>
      <c r="X118" s="15"/>
      <c r="Y118" s="15"/>
      <c r="Z118" s="15"/>
      <c r="AA118" s="15"/>
      <c r="AB118" s="15"/>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row>
    <row r="119" spans="1:59" ht="15.75">
      <c r="A119" s="3"/>
      <c r="B119" s="3"/>
      <c r="C119" s="3"/>
      <c r="D119" s="3"/>
      <c r="E119" s="3"/>
      <c r="F119" s="3"/>
      <c r="G119" s="3"/>
      <c r="H119" s="15"/>
      <c r="I119" s="15"/>
      <c r="J119" s="15"/>
      <c r="K119" s="15"/>
      <c r="L119" s="15"/>
      <c r="M119" s="15"/>
      <c r="N119" s="15"/>
      <c r="O119" s="15"/>
      <c r="P119" s="15"/>
      <c r="Q119" s="15"/>
      <c r="R119" s="15"/>
      <c r="S119" s="15"/>
      <c r="T119" s="15"/>
      <c r="U119" s="15"/>
      <c r="V119" s="15"/>
      <c r="W119" s="15"/>
      <c r="X119" s="15"/>
      <c r="Y119" s="15"/>
      <c r="Z119" s="15"/>
      <c r="AA119" s="15"/>
      <c r="AB119" s="15"/>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row>
    <row r="120" spans="1:59" ht="15.75">
      <c r="A120" s="3"/>
      <c r="B120" s="3"/>
      <c r="C120" s="3"/>
      <c r="D120" s="3"/>
      <c r="E120" s="3"/>
      <c r="F120" s="3"/>
      <c r="G120" s="3"/>
      <c r="H120" s="15"/>
      <c r="I120" s="15"/>
      <c r="J120" s="15"/>
      <c r="K120" s="15"/>
      <c r="L120" s="15"/>
      <c r="M120" s="15"/>
      <c r="N120" s="15"/>
      <c r="O120" s="15"/>
      <c r="P120" s="15"/>
      <c r="Q120" s="15"/>
      <c r="R120" s="15"/>
      <c r="S120" s="15"/>
      <c r="T120" s="15"/>
      <c r="U120" s="15"/>
      <c r="V120" s="15"/>
      <c r="W120" s="15"/>
      <c r="X120" s="15"/>
      <c r="Y120" s="15"/>
      <c r="Z120" s="15"/>
      <c r="AA120" s="15"/>
      <c r="AB120" s="15"/>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row>
    <row r="121" spans="1:59" ht="15.75">
      <c r="A121" s="3"/>
      <c r="B121" s="3"/>
      <c r="C121" s="3"/>
      <c r="D121" s="3"/>
      <c r="E121" s="3"/>
      <c r="F121" s="3"/>
      <c r="G121" s="3"/>
      <c r="H121" s="15"/>
      <c r="I121" s="15"/>
      <c r="J121" s="15"/>
      <c r="K121" s="15"/>
      <c r="L121" s="15"/>
      <c r="M121" s="15"/>
      <c r="N121" s="15"/>
      <c r="O121" s="15"/>
      <c r="P121" s="15"/>
      <c r="Q121" s="15"/>
      <c r="R121" s="15"/>
      <c r="S121" s="15"/>
      <c r="T121" s="15"/>
      <c r="U121" s="15"/>
      <c r="V121" s="15"/>
      <c r="W121" s="15"/>
      <c r="X121" s="15"/>
      <c r="Y121" s="15"/>
      <c r="Z121" s="15"/>
      <c r="AA121" s="15"/>
      <c r="AB121" s="15"/>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row>
    <row r="122" spans="1:59" ht="15.75">
      <c r="A122" s="3"/>
      <c r="B122" s="3"/>
      <c r="C122" s="3"/>
      <c r="D122" s="3"/>
      <c r="E122" s="3"/>
      <c r="F122" s="3"/>
      <c r="G122" s="3"/>
      <c r="H122" s="15"/>
      <c r="I122" s="15"/>
      <c r="J122" s="15"/>
      <c r="K122" s="15"/>
      <c r="L122" s="15"/>
      <c r="M122" s="15"/>
      <c r="N122" s="15"/>
      <c r="O122" s="15"/>
      <c r="P122" s="15"/>
      <c r="Q122" s="15"/>
      <c r="R122" s="15"/>
      <c r="S122" s="15"/>
      <c r="T122" s="15"/>
      <c r="U122" s="15"/>
      <c r="V122" s="15"/>
      <c r="W122" s="15"/>
      <c r="X122" s="15"/>
      <c r="Y122" s="15"/>
      <c r="Z122" s="15"/>
      <c r="AA122" s="15"/>
      <c r="AB122" s="15"/>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row>
    <row r="123" spans="1:59" ht="15.75">
      <c r="A123" s="3"/>
      <c r="B123" s="3"/>
      <c r="C123" s="3"/>
      <c r="D123" s="3"/>
      <c r="E123" s="3"/>
      <c r="F123" s="3"/>
      <c r="G123" s="3"/>
      <c r="H123" s="15"/>
      <c r="I123" s="15"/>
      <c r="J123" s="15"/>
      <c r="K123" s="15"/>
      <c r="L123" s="15"/>
      <c r="M123" s="15"/>
      <c r="N123" s="15"/>
      <c r="O123" s="15"/>
      <c r="P123" s="15"/>
      <c r="Q123" s="15"/>
      <c r="R123" s="15"/>
      <c r="S123" s="15"/>
      <c r="T123" s="15"/>
      <c r="U123" s="15"/>
      <c r="V123" s="15"/>
      <c r="W123" s="15"/>
      <c r="X123" s="15"/>
      <c r="Y123" s="15"/>
      <c r="Z123" s="15"/>
      <c r="AA123" s="15"/>
      <c r="AB123" s="15"/>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row>
    <row r="124" spans="1:59" ht="15.75">
      <c r="A124" s="3"/>
      <c r="B124" s="3"/>
      <c r="C124" s="3"/>
      <c r="D124" s="3"/>
      <c r="E124" s="3"/>
      <c r="F124" s="3"/>
      <c r="G124" s="3"/>
      <c r="H124" s="15"/>
      <c r="I124" s="15"/>
      <c r="J124" s="15"/>
      <c r="K124" s="15"/>
      <c r="L124" s="15"/>
      <c r="M124" s="15"/>
      <c r="N124" s="15"/>
      <c r="O124" s="15"/>
      <c r="P124" s="15"/>
      <c r="Q124" s="15"/>
      <c r="R124" s="15"/>
      <c r="S124" s="15"/>
      <c r="T124" s="15"/>
      <c r="U124" s="15"/>
      <c r="V124" s="15"/>
      <c r="W124" s="15"/>
      <c r="X124" s="15"/>
      <c r="Y124" s="15"/>
      <c r="Z124" s="15"/>
      <c r="AA124" s="15"/>
      <c r="AB124" s="15"/>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row>
    <row r="125" spans="1:59" ht="15.75">
      <c r="A125" s="3"/>
      <c r="B125" s="3"/>
      <c r="C125" s="3"/>
      <c r="D125" s="3"/>
      <c r="E125" s="3"/>
      <c r="F125" s="3"/>
      <c r="G125" s="3"/>
      <c r="H125" s="15"/>
      <c r="I125" s="15"/>
      <c r="J125" s="15"/>
      <c r="K125" s="15"/>
      <c r="L125" s="15"/>
      <c r="M125" s="15"/>
      <c r="N125" s="15"/>
      <c r="O125" s="15"/>
      <c r="P125" s="15"/>
      <c r="Q125" s="15"/>
      <c r="R125" s="15"/>
      <c r="S125" s="15"/>
      <c r="T125" s="15"/>
      <c r="U125" s="15"/>
      <c r="V125" s="15"/>
      <c r="W125" s="15"/>
      <c r="X125" s="15"/>
      <c r="Y125" s="15"/>
      <c r="Z125" s="15"/>
      <c r="AA125" s="15"/>
      <c r="AB125" s="15"/>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row>
    <row r="126" spans="1:59" ht="15.75">
      <c r="A126" s="3"/>
      <c r="B126" s="3"/>
      <c r="C126" s="3"/>
      <c r="D126" s="3"/>
      <c r="E126" s="3"/>
      <c r="F126" s="3"/>
      <c r="G126" s="3"/>
      <c r="H126" s="15"/>
      <c r="I126" s="15"/>
      <c r="J126" s="15"/>
      <c r="K126" s="15"/>
      <c r="L126" s="15"/>
      <c r="M126" s="15"/>
      <c r="N126" s="15"/>
      <c r="O126" s="15"/>
      <c r="P126" s="15"/>
      <c r="Q126" s="15"/>
      <c r="R126" s="15"/>
      <c r="S126" s="15"/>
      <c r="T126" s="15"/>
      <c r="U126" s="15"/>
      <c r="V126" s="15"/>
      <c r="W126" s="15"/>
      <c r="X126" s="15"/>
      <c r="Y126" s="15"/>
      <c r="Z126" s="15"/>
      <c r="AA126" s="15"/>
      <c r="AB126" s="15"/>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row>
    <row r="127" spans="1:59" ht="15.75">
      <c r="A127" s="3"/>
      <c r="B127" s="3"/>
      <c r="C127" s="3"/>
      <c r="D127" s="3"/>
      <c r="E127" s="3"/>
      <c r="F127" s="3"/>
      <c r="G127" s="3"/>
      <c r="H127" s="15"/>
      <c r="I127" s="15"/>
      <c r="J127" s="15"/>
      <c r="K127" s="15"/>
      <c r="L127" s="15"/>
      <c r="M127" s="15"/>
      <c r="N127" s="15"/>
      <c r="O127" s="15"/>
      <c r="P127" s="15"/>
      <c r="Q127" s="15"/>
      <c r="R127" s="15"/>
      <c r="S127" s="15"/>
      <c r="T127" s="15"/>
      <c r="U127" s="15"/>
      <c r="V127" s="15"/>
      <c r="W127" s="15"/>
      <c r="X127" s="15"/>
      <c r="Y127" s="15"/>
      <c r="Z127" s="15"/>
      <c r="AA127" s="15"/>
      <c r="AB127" s="15"/>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row>
    <row r="128" spans="1:59" ht="15.75">
      <c r="A128" s="3"/>
      <c r="B128" s="3"/>
      <c r="C128" s="3"/>
      <c r="D128" s="3"/>
      <c r="E128" s="3"/>
      <c r="F128" s="3"/>
      <c r="G128" s="3"/>
      <c r="H128" s="15"/>
      <c r="I128" s="15"/>
      <c r="J128" s="15"/>
      <c r="K128" s="15"/>
      <c r="L128" s="15"/>
      <c r="M128" s="15"/>
      <c r="N128" s="15"/>
      <c r="O128" s="15"/>
      <c r="P128" s="15"/>
      <c r="Q128" s="15"/>
      <c r="R128" s="15"/>
      <c r="S128" s="15"/>
      <c r="T128" s="15"/>
      <c r="U128" s="15"/>
      <c r="V128" s="15"/>
      <c r="W128" s="15"/>
      <c r="X128" s="15"/>
      <c r="Y128" s="15"/>
      <c r="Z128" s="15"/>
      <c r="AA128" s="15"/>
      <c r="AB128" s="15"/>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row>
    <row r="129" spans="1:59" ht="15.75">
      <c r="A129" s="3"/>
      <c r="B129" s="3"/>
      <c r="C129" s="3"/>
      <c r="D129" s="3"/>
      <c r="E129" s="3"/>
      <c r="F129" s="3"/>
      <c r="G129" s="3"/>
      <c r="H129" s="15"/>
      <c r="I129" s="15"/>
      <c r="J129" s="15"/>
      <c r="K129" s="15"/>
      <c r="L129" s="15"/>
      <c r="M129" s="15"/>
      <c r="N129" s="15"/>
      <c r="O129" s="15"/>
      <c r="P129" s="15"/>
      <c r="Q129" s="15"/>
      <c r="R129" s="15"/>
      <c r="S129" s="15"/>
      <c r="T129" s="15"/>
      <c r="U129" s="15"/>
      <c r="V129" s="15"/>
      <c r="W129" s="15"/>
      <c r="X129" s="15"/>
      <c r="Y129" s="15"/>
      <c r="Z129" s="15"/>
      <c r="AA129" s="15"/>
      <c r="AB129" s="15"/>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row>
    <row r="130" spans="1:59" ht="15.75">
      <c r="A130" s="3"/>
      <c r="B130" s="3"/>
      <c r="C130" s="3"/>
      <c r="D130" s="3"/>
      <c r="E130" s="3"/>
      <c r="F130" s="3"/>
      <c r="G130" s="3"/>
      <c r="H130" s="15"/>
      <c r="I130" s="15"/>
      <c r="J130" s="15"/>
      <c r="K130" s="15"/>
      <c r="L130" s="15"/>
      <c r="M130" s="15"/>
      <c r="N130" s="15"/>
      <c r="O130" s="15"/>
      <c r="P130" s="15"/>
      <c r="Q130" s="15"/>
      <c r="R130" s="15"/>
      <c r="S130" s="15"/>
      <c r="T130" s="15"/>
      <c r="U130" s="15"/>
      <c r="V130" s="15"/>
      <c r="W130" s="15"/>
      <c r="X130" s="15"/>
      <c r="Y130" s="15"/>
      <c r="Z130" s="15"/>
      <c r="AA130" s="15"/>
      <c r="AB130" s="15"/>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row>
    <row r="131" spans="1:59" ht="15.75">
      <c r="A131" s="3"/>
      <c r="B131" s="3"/>
      <c r="C131" s="3"/>
      <c r="D131" s="3"/>
      <c r="E131" s="3"/>
      <c r="F131" s="3"/>
      <c r="G131" s="3"/>
      <c r="H131" s="15"/>
      <c r="I131" s="15"/>
      <c r="J131" s="15"/>
      <c r="K131" s="15"/>
      <c r="L131" s="15"/>
      <c r="M131" s="15"/>
      <c r="N131" s="15"/>
      <c r="O131" s="15"/>
      <c r="P131" s="15"/>
      <c r="Q131" s="15"/>
      <c r="R131" s="15"/>
      <c r="S131" s="15"/>
      <c r="T131" s="15"/>
      <c r="U131" s="15"/>
      <c r="V131" s="15"/>
      <c r="W131" s="15"/>
      <c r="X131" s="15"/>
      <c r="Y131" s="15"/>
      <c r="Z131" s="15"/>
      <c r="AA131" s="15"/>
      <c r="AB131" s="15"/>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row>
    <row r="132" spans="1:59" ht="15.75">
      <c r="A132" s="3"/>
      <c r="B132" s="3"/>
      <c r="C132" s="3"/>
      <c r="D132" s="3"/>
      <c r="E132" s="3"/>
      <c r="F132" s="3"/>
      <c r="G132" s="3"/>
      <c r="H132" s="15"/>
      <c r="I132" s="15"/>
      <c r="J132" s="15"/>
      <c r="K132" s="15"/>
      <c r="L132" s="15"/>
      <c r="M132" s="15"/>
      <c r="N132" s="15"/>
      <c r="O132" s="15"/>
      <c r="P132" s="15"/>
      <c r="Q132" s="15"/>
      <c r="R132" s="15"/>
      <c r="S132" s="15"/>
      <c r="T132" s="15"/>
      <c r="U132" s="15"/>
      <c r="V132" s="15"/>
      <c r="W132" s="15"/>
      <c r="X132" s="15"/>
      <c r="Y132" s="15"/>
      <c r="Z132" s="15"/>
      <c r="AA132" s="15"/>
      <c r="AB132" s="15"/>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row>
    <row r="133" spans="1:59" ht="15.75">
      <c r="A133" s="3"/>
      <c r="B133" s="3"/>
      <c r="C133" s="3"/>
      <c r="D133" s="3"/>
      <c r="E133" s="3"/>
      <c r="F133" s="3"/>
      <c r="G133" s="3"/>
      <c r="H133" s="15"/>
      <c r="I133" s="15"/>
      <c r="J133" s="15"/>
      <c r="K133" s="15"/>
      <c r="L133" s="15"/>
      <c r="M133" s="15"/>
      <c r="N133" s="15"/>
      <c r="O133" s="15"/>
      <c r="P133" s="15"/>
      <c r="Q133" s="15"/>
      <c r="R133" s="15"/>
      <c r="S133" s="15"/>
      <c r="T133" s="15"/>
      <c r="U133" s="15"/>
      <c r="V133" s="15"/>
      <c r="W133" s="15"/>
      <c r="X133" s="15"/>
      <c r="Y133" s="15"/>
      <c r="Z133" s="15"/>
      <c r="AA133" s="15"/>
      <c r="AB133" s="15"/>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row>
    <row r="134" spans="1:59" ht="15.75">
      <c r="A134" s="3"/>
      <c r="B134" s="3"/>
      <c r="C134" s="3"/>
      <c r="D134" s="3"/>
      <c r="E134" s="3"/>
      <c r="F134" s="3"/>
      <c r="G134" s="3"/>
      <c r="H134" s="15"/>
      <c r="I134" s="15"/>
      <c r="J134" s="15"/>
      <c r="K134" s="15"/>
      <c r="L134" s="15"/>
      <c r="M134" s="15"/>
      <c r="N134" s="15"/>
      <c r="O134" s="15"/>
      <c r="P134" s="15"/>
      <c r="Q134" s="15"/>
      <c r="R134" s="15"/>
      <c r="S134" s="15"/>
      <c r="T134" s="15"/>
      <c r="U134" s="15"/>
      <c r="V134" s="15"/>
      <c r="W134" s="15"/>
      <c r="X134" s="15"/>
      <c r="Y134" s="15"/>
      <c r="Z134" s="15"/>
      <c r="AA134" s="15"/>
      <c r="AB134" s="15"/>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row>
    <row r="135" spans="1:59">
      <c r="A135" s="3"/>
      <c r="B135" s="3"/>
      <c r="C135" s="3"/>
      <c r="D135" s="3"/>
      <c r="E135" s="3"/>
      <c r="F135" s="3"/>
      <c r="G135" s="3"/>
      <c r="H135" s="3"/>
      <c r="I135" s="3"/>
      <c r="J135" s="3"/>
      <c r="K135" s="3"/>
      <c r="L135" s="76"/>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row>
    <row r="136" spans="1:59">
      <c r="A136" s="3"/>
      <c r="B136" s="3"/>
      <c r="C136" s="3"/>
      <c r="D136" s="3"/>
      <c r="E136" s="3"/>
      <c r="F136" s="3"/>
      <c r="G136" s="3"/>
      <c r="H136" s="3"/>
      <c r="I136" s="3"/>
      <c r="J136" s="3"/>
      <c r="K136" s="3"/>
      <c r="L136" s="76"/>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row>
    <row r="137" spans="1:59">
      <c r="A137" s="3"/>
      <c r="B137" s="3"/>
      <c r="C137" s="3"/>
      <c r="D137" s="3"/>
      <c r="E137" s="3"/>
      <c r="F137" s="3"/>
      <c r="G137" s="3"/>
      <c r="H137" s="3"/>
      <c r="I137" s="3"/>
      <c r="J137" s="3"/>
      <c r="K137" s="3"/>
      <c r="L137" s="76"/>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row>
    <row r="138" spans="1:59">
      <c r="A138" s="3"/>
      <c r="B138" s="3"/>
      <c r="C138" s="3"/>
      <c r="D138" s="3"/>
      <c r="E138" s="3"/>
      <c r="F138" s="3"/>
      <c r="G138" s="3"/>
      <c r="H138" s="3"/>
      <c r="I138" s="3"/>
      <c r="J138" s="3"/>
      <c r="K138" s="3"/>
      <c r="L138" s="76"/>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row>
    <row r="139" spans="1:59">
      <c r="A139" s="3"/>
      <c r="B139" s="3"/>
      <c r="C139" s="3"/>
      <c r="D139" s="3"/>
      <c r="E139" s="3"/>
      <c r="F139" s="3"/>
      <c r="G139" s="3"/>
      <c r="H139" s="3"/>
      <c r="I139" s="3"/>
      <c r="J139" s="3"/>
      <c r="K139" s="3"/>
      <c r="L139" s="76"/>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row>
    <row r="140" spans="1:59">
      <c r="G140" s="3"/>
      <c r="H140" s="3"/>
      <c r="I140" s="3"/>
      <c r="J140" s="3"/>
      <c r="K140" s="3"/>
      <c r="L140" s="76"/>
      <c r="M140" s="3"/>
      <c r="N140" s="3"/>
      <c r="O140" s="3"/>
      <c r="P140" s="3"/>
      <c r="Q140" s="3"/>
      <c r="R140" s="3"/>
      <c r="S140" s="3"/>
      <c r="T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row>
    <row r="141" spans="1:59">
      <c r="G141" s="3"/>
      <c r="K141" s="3"/>
      <c r="L141" s="76"/>
      <c r="M141" s="3"/>
      <c r="N141" s="3"/>
      <c r="O141" s="3"/>
      <c r="P141" s="3"/>
      <c r="Q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row>
    <row r="142" spans="1:59">
      <c r="M142" s="3"/>
      <c r="N142" s="3"/>
      <c r="O142" s="3"/>
      <c r="P142" s="3"/>
    </row>
  </sheetData>
  <sheetProtection sheet="1" objects="1" scenarios="1"/>
  <mergeCells count="5">
    <mergeCell ref="E3:E5"/>
    <mergeCell ref="E16:E18"/>
    <mergeCell ref="E29:E31"/>
    <mergeCell ref="A43:B43"/>
    <mergeCell ref="D43:E43"/>
  </mergeCells>
  <dataValidations count="5">
    <dataValidation type="list" allowBlank="1" showInputMessage="1" showErrorMessage="1" sqref="D43">
      <formula1>"age at interview,age at birth"</formula1>
    </dataValidation>
    <dataValidation type="decimal" operator="greaterThanOrEqual" allowBlank="1" showInputMessage="1" showErrorMessage="1" sqref="B28:C28 B32:C41 B15:C15">
      <formula1>0</formula1>
    </dataValidation>
    <dataValidation type="decimal" allowBlank="1" showInputMessage="1" showErrorMessage="1" error="-1.5&lt;α&lt;1" promptTitle="Level parameter" prompt="α can vary from -1.5 (low mortality) to 1 (high mortality) around a central value of zero" sqref="K42">
      <formula1>-1.5</formula1>
      <formula2>1</formula2>
    </dataValidation>
    <dataValidation type="decimal" allowBlank="1" showInputMessage="1" showErrorMessage="1" error="0.6&lt;β&lt;1.5" promptTitle="Slope parameter" prompt="β can vary between 0.6 (relatively high mortality at younger ages) and 1.5 (relatively high mortality at older ages) around a central value of one." sqref="K43">
      <formula1>0.6</formula1>
      <formula2>1.5</formula2>
    </dataValidation>
    <dataValidation type="decimal" operator="greaterThanOrEqual" allowBlank="1" showInputMessage="1" showErrorMessage="1" error="Enter a number &gt;=0" sqref="B6:C14 B19:C27 B47:B53">
      <formula1>0</formula1>
    </dataValidation>
  </dataValidations>
  <printOptions horizontalCentered="1"/>
  <pageMargins left="0.51181102362204722" right="0.51181102362204722" top="0.74803149606299213" bottom="0.74803149606299213" header="0.31496062992125984" footer="0.51181102362204722"/>
  <pageSetup paperSize="9" scale="85" orientation="portrait" r:id="rId1"/>
  <headerFooter alignWithMargins="0">
    <oddHeader>&amp;L&amp;"Cambria,Bold"&amp;14Tools for Demographic Estimation&amp;R&amp;"Cambria,Bold"&amp;14Orphanhood</oddHeader>
    <oddFooter>&amp;L&amp;"Cambria,Regular"&amp;F&amp;R&amp;"Cambria,Regular"&amp;D  &amp;T</oddFooter>
  </headerFooter>
  <rowBreaks count="1" manualBreakCount="1">
    <brk id="61" max="16383" man="1"/>
  </rowBreaks>
  <colBreaks count="1" manualBreakCount="1">
    <brk id="11" max="1048575" man="1"/>
  </colBreaks>
  <ignoredErrors>
    <ignoredError sqref="B32:C40"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BH139"/>
  <sheetViews>
    <sheetView topLeftCell="A30" zoomScaleNormal="100" workbookViewId="0">
      <selection activeCell="C40" sqref="C40"/>
    </sheetView>
  </sheetViews>
  <sheetFormatPr defaultColWidth="8.88671875" defaultRowHeight="15"/>
  <cols>
    <col min="1" max="1" width="6.33203125" style="60" customWidth="1"/>
    <col min="2" max="5" width="8.77734375" style="60" customWidth="1"/>
    <col min="6" max="6" width="4.5546875" style="60" customWidth="1"/>
    <col min="7" max="11" width="8.77734375" style="60" customWidth="1"/>
    <col min="12" max="12" width="2.6640625" style="60" customWidth="1"/>
    <col min="13" max="13" width="6.77734375" style="60" customWidth="1"/>
    <col min="14" max="15" width="7.77734375" style="60" customWidth="1"/>
    <col min="16" max="16" width="10" style="60" customWidth="1"/>
    <col min="17" max="17" width="9.6640625" style="60" customWidth="1"/>
    <col min="18" max="18" width="8.109375" style="60" customWidth="1"/>
    <col min="19" max="19" width="7.5546875" style="60" customWidth="1"/>
    <col min="20" max="21" width="8.88671875" style="60"/>
    <col min="22" max="22" width="9.77734375" style="60" customWidth="1"/>
    <col min="23" max="16384" width="8.88671875" style="60"/>
  </cols>
  <sheetData>
    <row r="1" spans="1:60" ht="15" customHeight="1">
      <c r="A1" s="6" t="s">
        <v>64</v>
      </c>
      <c r="B1" s="3"/>
      <c r="C1" s="3"/>
      <c r="D1" s="3"/>
      <c r="E1" s="3"/>
      <c r="F1" s="3"/>
      <c r="G1" s="6" t="str">
        <f>Introduction!D9</f>
        <v>Iraq</v>
      </c>
      <c r="H1" s="6"/>
      <c r="I1" s="3"/>
      <c r="J1" s="146" t="s">
        <v>92</v>
      </c>
      <c r="K1" s="59">
        <f>Introduction!D12</f>
        <v>35719</v>
      </c>
      <c r="L1" s="8"/>
      <c r="M1" s="15" t="s">
        <v>31</v>
      </c>
      <c r="N1" s="3"/>
      <c r="O1" s="3"/>
      <c r="P1" s="3"/>
      <c r="Q1" s="3"/>
      <c r="R1" s="3"/>
      <c r="S1" s="146" t="s">
        <v>116</v>
      </c>
      <c r="T1" s="176">
        <f>Date_of_survey</f>
        <v>1997.7890410958903</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row>
    <row r="2" spans="1:60" ht="15" customHeight="1">
      <c r="A2" s="173" t="s">
        <v>130</v>
      </c>
      <c r="B2" s="3"/>
      <c r="D2" s="3"/>
      <c r="E2" s="3"/>
      <c r="F2" s="3"/>
      <c r="G2" s="6"/>
      <c r="H2" s="6"/>
      <c r="I2" s="3"/>
      <c r="J2" s="146"/>
      <c r="K2" s="59"/>
      <c r="L2" s="8"/>
      <c r="M2" s="15"/>
      <c r="N2" s="3"/>
      <c r="O2" s="3"/>
      <c r="P2" s="3"/>
      <c r="Q2" s="3"/>
      <c r="R2" s="3"/>
      <c r="S2" s="146"/>
      <c r="T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60" ht="15" customHeight="1">
      <c r="A3" s="151"/>
      <c r="B3" s="150"/>
      <c r="C3" s="150"/>
      <c r="D3" s="150"/>
      <c r="E3" s="211" t="s">
        <v>119</v>
      </c>
      <c r="F3" s="164"/>
      <c r="G3" s="150"/>
      <c r="H3" s="150"/>
      <c r="I3" s="150"/>
      <c r="J3" s="22" t="s">
        <v>117</v>
      </c>
      <c r="K3" s="152"/>
      <c r="L3" s="9"/>
      <c r="M3" s="22" t="s">
        <v>0</v>
      </c>
      <c r="N3" s="22" t="s">
        <v>28</v>
      </c>
      <c r="O3" s="22" t="s">
        <v>3</v>
      </c>
      <c r="P3" s="22" t="s">
        <v>29</v>
      </c>
      <c r="Q3" s="22" t="s">
        <v>60</v>
      </c>
      <c r="R3" s="22" t="s">
        <v>15</v>
      </c>
      <c r="S3" s="22" t="s">
        <v>30</v>
      </c>
      <c r="T3" s="61"/>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60" ht="15" customHeight="1">
      <c r="A4" s="32" t="s">
        <v>0</v>
      </c>
      <c r="B4" s="32" t="s">
        <v>1</v>
      </c>
      <c r="C4" s="32" t="s">
        <v>76</v>
      </c>
      <c r="D4" s="32" t="s">
        <v>3</v>
      </c>
      <c r="E4" s="212"/>
      <c r="F4" s="32" t="s">
        <v>0</v>
      </c>
      <c r="G4" s="147" t="s">
        <v>70</v>
      </c>
      <c r="H4" s="33" t="s">
        <v>29</v>
      </c>
      <c r="I4" s="32" t="s">
        <v>4</v>
      </c>
      <c r="J4" s="32" t="s">
        <v>118</v>
      </c>
      <c r="K4" s="148"/>
      <c r="L4" s="9"/>
      <c r="M4" s="32" t="s">
        <v>55</v>
      </c>
      <c r="N4" s="32" t="s">
        <v>54</v>
      </c>
      <c r="O4" s="32" t="s">
        <v>57</v>
      </c>
      <c r="P4" s="32" t="s">
        <v>58</v>
      </c>
      <c r="Q4" s="32" t="s">
        <v>59</v>
      </c>
      <c r="R4" s="32" t="s">
        <v>65</v>
      </c>
      <c r="S4" s="32" t="s">
        <v>61</v>
      </c>
      <c r="T4" s="32" t="s">
        <v>5</v>
      </c>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row>
    <row r="5" spans="1:60" ht="15" customHeight="1">
      <c r="A5" s="23" t="s">
        <v>55</v>
      </c>
      <c r="B5" s="23" t="s">
        <v>79</v>
      </c>
      <c r="C5" s="23" t="s">
        <v>56</v>
      </c>
      <c r="D5" s="167" t="s">
        <v>56</v>
      </c>
      <c r="E5" s="213"/>
      <c r="F5" s="171" t="s">
        <v>16</v>
      </c>
      <c r="G5" s="24" t="s">
        <v>71</v>
      </c>
      <c r="H5" s="23" t="s">
        <v>72</v>
      </c>
      <c r="I5" s="42" t="s">
        <v>62</v>
      </c>
      <c r="J5" s="86" t="str">
        <f>Introduction!D$11</f>
        <v>30q30</v>
      </c>
      <c r="K5" s="25" t="s">
        <v>5</v>
      </c>
      <c r="L5" s="10"/>
      <c r="M5" s="62"/>
      <c r="N5" s="34" t="s">
        <v>45</v>
      </c>
      <c r="O5" s="23" t="s">
        <v>33</v>
      </c>
      <c r="P5" s="34" t="s">
        <v>50</v>
      </c>
      <c r="Q5" s="23" t="s">
        <v>34</v>
      </c>
      <c r="R5" s="23" t="s">
        <v>69</v>
      </c>
      <c r="S5" s="34" t="s">
        <v>52</v>
      </c>
      <c r="T5" s="62"/>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row>
    <row r="6" spans="1:60" ht="15" customHeight="1">
      <c r="A6" s="26" t="s">
        <v>6</v>
      </c>
      <c r="B6" s="180">
        <v>1442900</v>
      </c>
      <c r="C6" s="180">
        <v>1388100</v>
      </c>
      <c r="D6" s="63">
        <f>C6/B6</f>
        <v>0.96202093007138401</v>
      </c>
      <c r="E6" s="137">
        <f t="shared" ref="E6:E12" ca="1" si="0">MBAR_m</f>
        <v>33.506450726241425</v>
      </c>
      <c r="F6" s="169">
        <v>10</v>
      </c>
      <c r="G6" s="48">
        <f ca="1">IF(AND(D6&gt;0,D6&lt;1,D7&gt;0,D7&lt;1),'Model data'!J17+'Model data'!K17*E6 +'Model data'!L17*D6+'Model data'!M17*D7,NA())</f>
        <v>0.9333090125158543</v>
      </c>
      <c r="H6" s="48">
        <f>'Model data'!D31</f>
        <v>0.75558816659335271</v>
      </c>
      <c r="I6" s="138">
        <f ca="1">-0.5*LN(1+(G6/H6-1/'Model data'!$D$28)/(1-G6))</f>
        <v>-0.2131694272079882</v>
      </c>
      <c r="J6" s="187">
        <f ca="1">1-(1+EXP(2*(I6+IF(Introduction!D$11="45q15",'Model data'!$C$24,'Model data'!$C$27))))/(1+EXP(2*(I6+'Model data'!$C$33)))</f>
        <v>0.17590264348206053</v>
      </c>
      <c r="K6" s="188">
        <f ca="1">T6</f>
        <v>1992.747304980626</v>
      </c>
      <c r="L6" s="11"/>
      <c r="M6" s="26" t="s">
        <v>6</v>
      </c>
      <c r="N6" s="40">
        <v>10</v>
      </c>
      <c r="O6" s="27">
        <f t="shared" ref="O6:O12" si="1">SQRT(D6*D7)</f>
        <v>0.93037005911973725</v>
      </c>
      <c r="P6" s="27">
        <f t="shared" ref="P6:P12" ca="1" si="2">(1-(MBAR_m+N6)/80)/(1-(MBAR_m-0.75)/80)</f>
        <v>0.772455707387525</v>
      </c>
      <c r="Q6" s="27">
        <f t="shared" ref="Q6:Q12" ca="1" si="3">LN(O6/P6)/3</f>
        <v>6.2002583206657108E-2</v>
      </c>
      <c r="R6" s="46">
        <f>(N6+0.75)/2</f>
        <v>5.375</v>
      </c>
      <c r="S6" s="28">
        <f t="shared" ref="S6:S12" ca="1" si="4">R6*(1-Q6)</f>
        <v>5.0417361152642179</v>
      </c>
      <c r="T6" s="38">
        <f t="shared" ref="T6:T12" ca="1" si="5">Date_of_survey-S6</f>
        <v>1992.747304980626</v>
      </c>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row>
    <row r="7" spans="1:60" ht="15" customHeight="1">
      <c r="A7" s="26" t="s">
        <v>7</v>
      </c>
      <c r="B7" s="179">
        <v>1219280</v>
      </c>
      <c r="C7" s="179">
        <v>1097060</v>
      </c>
      <c r="D7" s="63">
        <f t="shared" ref="D7:D13" si="6">C7/B7</f>
        <v>0.89976051440194216</v>
      </c>
      <c r="E7" s="137">
        <f t="shared" ca="1" si="0"/>
        <v>33.506450726241425</v>
      </c>
      <c r="F7" s="170">
        <v>15</v>
      </c>
      <c r="G7" s="48">
        <f ca="1">IF(AND(D7&gt;0,D7&lt;1,D8&gt;0,D8&lt;1),'Model data'!J18+'Model data'!K18*E7 +'Model data'!L18*D7+'Model data'!M18*D8,NA())</f>
        <v>0.90085700977557903</v>
      </c>
      <c r="H7" s="48">
        <f>'Model data'!D31</f>
        <v>0.75558816659335271</v>
      </c>
      <c r="I7" s="138">
        <f ca="1">-0.5*LN(1+(G7/H7-1/'Model data'!$D$28)/(1-G7))</f>
        <v>3.9297237011085388E-2</v>
      </c>
      <c r="J7" s="187">
        <f ca="1">1-(1+EXP(2*(I7+IF(Introduction!D$11="45q15",'Model data'!$C$24,'Model data'!$C$27))))/(1+EXP(2*(I7+'Model data'!$C$33)))</f>
        <v>0.24874959052107326</v>
      </c>
      <c r="K7" s="188">
        <f ca="1">T7</f>
        <v>1990.6057512452012</v>
      </c>
      <c r="L7" s="11"/>
      <c r="M7" s="26" t="s">
        <v>7</v>
      </c>
      <c r="N7" s="40">
        <f>N6+5</f>
        <v>15</v>
      </c>
      <c r="O7" s="27">
        <f t="shared" si="1"/>
        <v>0.86759978043271957</v>
      </c>
      <c r="P7" s="27">
        <f t="shared" ca="1" si="2"/>
        <v>0.66662115268404831</v>
      </c>
      <c r="Q7" s="27">
        <f t="shared" ca="1" si="3"/>
        <v>8.78362094362969E-2</v>
      </c>
      <c r="R7" s="47">
        <f t="shared" ref="R7:R12" si="7">(N7+0.75)/2</f>
        <v>7.875</v>
      </c>
      <c r="S7" s="28">
        <f t="shared" ca="1" si="4"/>
        <v>7.183289850689162</v>
      </c>
      <c r="T7" s="38">
        <f t="shared" ca="1" si="5"/>
        <v>1990.6057512452012</v>
      </c>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row>
    <row r="8" spans="1:60" ht="15" customHeight="1">
      <c r="A8" s="26" t="s">
        <v>8</v>
      </c>
      <c r="B8" s="180">
        <v>1104880</v>
      </c>
      <c r="C8" s="180">
        <v>924330</v>
      </c>
      <c r="D8" s="63">
        <f t="shared" si="6"/>
        <v>0.83658858880602416</v>
      </c>
      <c r="E8" s="137">
        <f t="shared" ca="1" si="0"/>
        <v>33.506450726241425</v>
      </c>
      <c r="F8" s="170">
        <v>20</v>
      </c>
      <c r="G8" s="48">
        <f ca="1">IF(AND(D8&gt;0,D8&lt;1,D9&gt;0,D9&lt;1),'Model data'!J19+'Model data'!K19*E8 +'Model data'!L19*D8+'Model data'!M19*D9,NA())</f>
        <v>0.83609606832482219</v>
      </c>
      <c r="H8" s="48">
        <f>'Model data'!D32</f>
        <v>0.71027415735971011</v>
      </c>
      <c r="I8" s="138">
        <f ca="1">-0.5*LN(1+(G8/H8-1/'Model data'!$D$28)/(1-G8))</f>
        <v>7.4210155667492159E-2</v>
      </c>
      <c r="J8" s="187">
        <f ca="1">1-(1+EXP(2*(I8+IF(Introduction!D$11="45q15",'Model data'!$C$24,'Model data'!$C$27))))/(1+EXP(2*(I8+'Model data'!$C$33)))</f>
        <v>0.25979625059734857</v>
      </c>
      <c r="K8" s="188">
        <f ca="1">T8</f>
        <v>1988.6764277610839</v>
      </c>
      <c r="L8" s="11"/>
      <c r="M8" s="26" t="s">
        <v>8</v>
      </c>
      <c r="N8" s="40">
        <f t="shared" ref="N8:N12" si="8">N7+5</f>
        <v>20</v>
      </c>
      <c r="O8" s="27">
        <f t="shared" si="1"/>
        <v>0.80784314067820895</v>
      </c>
      <c r="P8" s="27">
        <f t="shared" ca="1" si="2"/>
        <v>0.56078659798057162</v>
      </c>
      <c r="Q8" s="27">
        <f t="shared" ca="1" si="3"/>
        <v>0.12167582315118669</v>
      </c>
      <c r="R8" s="47">
        <f t="shared" si="7"/>
        <v>10.375</v>
      </c>
      <c r="S8" s="28">
        <f t="shared" ca="1" si="4"/>
        <v>9.1126133348064382</v>
      </c>
      <c r="T8" s="38">
        <f t="shared" ca="1" si="5"/>
        <v>1988.6764277610839</v>
      </c>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row>
    <row r="9" spans="1:60" ht="15" customHeight="1">
      <c r="A9" s="26" t="s">
        <v>9</v>
      </c>
      <c r="B9" s="179">
        <v>913400</v>
      </c>
      <c r="C9" s="179">
        <v>712530</v>
      </c>
      <c r="D9" s="63">
        <f t="shared" si="6"/>
        <v>0.78008539522662579</v>
      </c>
      <c r="E9" s="137">
        <f t="shared" ca="1" si="0"/>
        <v>33.506450726241425</v>
      </c>
      <c r="F9" s="170">
        <v>25</v>
      </c>
      <c r="G9" s="48">
        <f ca="1">IF(AND(D9&gt;0,D9&lt;1,D10&gt;0,D10&lt;1),'Model data'!J20+'Model data'!K20*E9 +'Model data'!L20*D9+'Model data'!M20*D10,NA())</f>
        <v>0.76295337777642414</v>
      </c>
      <c r="H9" s="48">
        <f>'Model data'!D33</f>
        <v>0.64857401363075629</v>
      </c>
      <c r="I9" s="138">
        <f ca="1">-0.5*LN(1+(G9/H9-1/'Model data'!$D$28)/(1-G9))</f>
        <v>5.1961814957239685E-2</v>
      </c>
      <c r="J9" s="187">
        <f ca="1">1-(1+EXP(2*(I9+IF(Introduction!D$11="45q15",'Model data'!$C$24,'Model data'!$C$27))))/(1+EXP(2*(I9+'Model data'!$C$33)))</f>
        <v>0.2527348212933388</v>
      </c>
      <c r="K9" s="188">
        <f ca="1">T9</f>
        <v>1986.9639998652531</v>
      </c>
      <c r="L9" s="11"/>
      <c r="M9" s="26" t="s">
        <v>9</v>
      </c>
      <c r="N9" s="40">
        <f t="shared" si="8"/>
        <v>25</v>
      </c>
      <c r="O9" s="27">
        <f t="shared" si="1"/>
        <v>0.73351812661962024</v>
      </c>
      <c r="P9" s="27">
        <f t="shared" ca="1" si="2"/>
        <v>0.45495204327709488</v>
      </c>
      <c r="Q9" s="27">
        <f t="shared" ca="1" si="3"/>
        <v>0.15922009859127664</v>
      </c>
      <c r="R9" s="47">
        <f t="shared" si="7"/>
        <v>12.875</v>
      </c>
      <c r="S9" s="28">
        <f t="shared" ca="1" si="4"/>
        <v>10.825041230637314</v>
      </c>
      <c r="T9" s="38">
        <f t="shared" ca="1" si="5"/>
        <v>1986.9639998652531</v>
      </c>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row>
    <row r="10" spans="1:60" ht="15" customHeight="1">
      <c r="A10" s="26" t="s">
        <v>10</v>
      </c>
      <c r="B10" s="180">
        <v>817290</v>
      </c>
      <c r="C10" s="180">
        <v>563710</v>
      </c>
      <c r="D10" s="63">
        <f t="shared" si="6"/>
        <v>0.68973069534681697</v>
      </c>
      <c r="E10" s="137">
        <f t="shared" ca="1" si="0"/>
        <v>33.506450726241425</v>
      </c>
      <c r="F10" s="170">
        <v>30</v>
      </c>
      <c r="G10" s="48">
        <f ca="1">IF(AND(D10&gt;0,D10&lt;1,D11&gt;0,D11&lt;1),'Model data'!J21+'Model data'!K21*E10 +'Model data'!L21*D10+'Model data'!M21*D11,NA())</f>
        <v>0.65023638344870682</v>
      </c>
      <c r="H10" s="48">
        <f>'Model data'!D34</f>
        <v>0.56571082144915019</v>
      </c>
      <c r="I10" s="138">
        <f ca="1">-0.5*LN(1+(G10/H10-1/'Model data'!$D$28)/(1-G10))</f>
        <v>7.7696178603911176E-2</v>
      </c>
      <c r="J10" s="187">
        <f ca="1">1-(1+EXP(2*(I10+IF(Introduction!D$11="45q15",'Model data'!$C$24,'Model data'!$C$27))))/(1+EXP(2*(I10+'Model data'!$C$33)))</f>
        <v>0.26090936183930125</v>
      </c>
      <c r="K10" s="188">
        <f ca="1">IF(T10&gt;=T9,NA(),T10)</f>
        <v>1985.4433500410798</v>
      </c>
      <c r="L10" s="11"/>
      <c r="M10" s="26" t="s">
        <v>10</v>
      </c>
      <c r="N10" s="40">
        <f t="shared" si="8"/>
        <v>30</v>
      </c>
      <c r="O10" s="27">
        <f t="shared" si="1"/>
        <v>0.63048740642752987</v>
      </c>
      <c r="P10" s="27">
        <f t="shared" ca="1" si="2"/>
        <v>0.34911748857361813</v>
      </c>
      <c r="Q10" s="27">
        <f t="shared" ca="1" si="3"/>
        <v>0.19702822407737228</v>
      </c>
      <c r="R10" s="47">
        <f t="shared" si="7"/>
        <v>15.375</v>
      </c>
      <c r="S10" s="28">
        <f t="shared" ca="1" si="4"/>
        <v>12.3456910548104</v>
      </c>
      <c r="T10" s="38">
        <f t="shared" ca="1" si="5"/>
        <v>1985.4433500410798</v>
      </c>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row>
    <row r="11" spans="1:60" ht="15" customHeight="1">
      <c r="A11" s="26" t="s">
        <v>11</v>
      </c>
      <c r="B11" s="179">
        <v>616970</v>
      </c>
      <c r="C11" s="179">
        <v>355580</v>
      </c>
      <c r="D11" s="63">
        <f t="shared" si="6"/>
        <v>0.57633272282282766</v>
      </c>
      <c r="E11" s="137">
        <f t="shared" ca="1" si="0"/>
        <v>33.506450726241425</v>
      </c>
      <c r="F11" s="170">
        <v>35</v>
      </c>
      <c r="G11" s="48">
        <f ca="1">IF(AND(D11&gt;0,D11&lt;1,D12&gt;0,D12&lt;1),'Model data'!J22+'Model data'!K22*E11 +'Model data'!L22*D11+'Model data'!M22*D12,NA())</f>
        <v>0.5331593233462758</v>
      </c>
      <c r="H11" s="48">
        <f>'Model data'!D35</f>
        <v>0.45955087928190458</v>
      </c>
      <c r="I11" s="138">
        <f ca="1">-0.5*LN(1+(G11/H11-1/'Model data'!$D$28)/(1-G11))</f>
        <v>4.4294867933134016E-2</v>
      </c>
      <c r="J11" s="187">
        <f ca="1">1-(1+EXP(2*(I11+IF(Introduction!D$11="45q15",'Model data'!$C$24,'Model data'!$C$27))))/(1+EXP(2*(I11+'Model data'!$C$33)))</f>
        <v>0.2503191429451177</v>
      </c>
      <c r="K11" s="188">
        <f t="shared" ref="K11:K12" ca="1" si="9">IF(T11&gt;=T10,NA(),T11)</f>
        <v>1984.4940039270298</v>
      </c>
      <c r="L11" s="11"/>
      <c r="M11" s="26" t="s">
        <v>11</v>
      </c>
      <c r="N11" s="40">
        <f t="shared" si="8"/>
        <v>35</v>
      </c>
      <c r="O11" s="27">
        <f t="shared" si="1"/>
        <v>0.5247333314657191</v>
      </c>
      <c r="P11" s="27">
        <f t="shared" ca="1" si="2"/>
        <v>0.24328293387014144</v>
      </c>
      <c r="Q11" s="27">
        <f t="shared" ca="1" si="3"/>
        <v>0.25622169684696289</v>
      </c>
      <c r="R11" s="47">
        <f>(N11+0.75)/2</f>
        <v>17.875</v>
      </c>
      <c r="S11" s="28">
        <f t="shared" ca="1" si="4"/>
        <v>13.295037168860539</v>
      </c>
      <c r="T11" s="38">
        <f t="shared" ca="1" si="5"/>
        <v>1984.4940039270298</v>
      </c>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row>
    <row r="12" spans="1:60" ht="15" customHeight="1">
      <c r="A12" s="43" t="s">
        <v>12</v>
      </c>
      <c r="B12" s="180">
        <v>368600</v>
      </c>
      <c r="C12" s="180">
        <v>176100</v>
      </c>
      <c r="D12" s="63">
        <f t="shared" si="6"/>
        <v>0.47775366250678242</v>
      </c>
      <c r="E12" s="137">
        <f t="shared" ca="1" si="0"/>
        <v>33.506450726241425</v>
      </c>
      <c r="F12" s="170">
        <v>40</v>
      </c>
      <c r="G12" s="48">
        <f ca="1">IF(AND(D12&gt;0,D12&lt;1,D13&gt;0,D13&lt;1),'Model data'!J23+'Model data'!K23*E12 +'Model data'!L23*D12+'Model data'!M23*D13,NA())</f>
        <v>0.36984666901153712</v>
      </c>
      <c r="H12" s="48">
        <f>'Model data'!D36</f>
        <v>0.33555954367971813</v>
      </c>
      <c r="I12" s="138">
        <f ca="1">-0.5*LN(1+(G12/H12-1/'Model data'!$D$28)/(1-G12))</f>
        <v>8.4115727250565236E-2</v>
      </c>
      <c r="J12" s="187">
        <f ca="1">1-(1+EXP(2*(I12+IF(Introduction!D$11="45q15",'Model data'!$C$24,'Model data'!$C$27))))/(1+EXP(2*(I12+'Model data'!$C$33)))</f>
        <v>0.26296371897705051</v>
      </c>
      <c r="K12" s="188" t="e">
        <f t="shared" ca="1" si="9"/>
        <v>#N/A</v>
      </c>
      <c r="L12" s="11"/>
      <c r="M12" s="43" t="s">
        <v>12</v>
      </c>
      <c r="N12" s="159">
        <f t="shared" si="8"/>
        <v>40</v>
      </c>
      <c r="O12" s="50">
        <f t="shared" si="1"/>
        <v>0.40091700987488138</v>
      </c>
      <c r="P12" s="50">
        <f t="shared" ca="1" si="2"/>
        <v>0.13744837916666472</v>
      </c>
      <c r="Q12" s="50">
        <f t="shared" ca="1" si="3"/>
        <v>0.35683534186498617</v>
      </c>
      <c r="R12" s="47">
        <f t="shared" si="7"/>
        <v>20.375</v>
      </c>
      <c r="S12" s="47">
        <f t="shared" ca="1" si="4"/>
        <v>13.104479909500908</v>
      </c>
      <c r="T12" s="38">
        <f t="shared" ca="1" si="5"/>
        <v>1984.6845611863894</v>
      </c>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row>
    <row r="13" spans="1:60" ht="15" customHeight="1">
      <c r="A13" s="44" t="s">
        <v>13</v>
      </c>
      <c r="B13" s="181">
        <v>402630</v>
      </c>
      <c r="C13" s="181">
        <v>135460</v>
      </c>
      <c r="D13" s="64">
        <f t="shared" si="6"/>
        <v>0.33643792067158435</v>
      </c>
      <c r="E13" s="64"/>
      <c r="F13" s="172"/>
      <c r="G13" s="30"/>
      <c r="H13" s="30"/>
      <c r="I13" s="30"/>
      <c r="J13" s="30"/>
      <c r="K13" s="30"/>
      <c r="L13" s="11"/>
      <c r="M13" s="62"/>
      <c r="N13" s="160"/>
      <c r="O13" s="161"/>
      <c r="P13" s="62"/>
      <c r="Q13" s="160"/>
      <c r="R13" s="162"/>
      <c r="S13" s="160"/>
      <c r="T13" s="16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row>
    <row r="14" spans="1:60" ht="15" customHeight="1">
      <c r="A14" s="174" t="s">
        <v>131</v>
      </c>
      <c r="C14" s="174"/>
      <c r="G14" s="13"/>
      <c r="H14" s="14"/>
      <c r="I14" s="66"/>
      <c r="J14" s="13"/>
      <c r="K14" s="65"/>
      <c r="L14" s="3"/>
      <c r="R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row>
    <row r="15" spans="1:60" ht="15" customHeight="1">
      <c r="A15" s="151"/>
      <c r="B15" s="150"/>
      <c r="C15" s="150"/>
      <c r="D15" s="150"/>
      <c r="E15" s="211" t="s">
        <v>119</v>
      </c>
      <c r="F15" s="164"/>
      <c r="G15" s="150"/>
      <c r="H15" s="150"/>
      <c r="I15" s="150"/>
      <c r="J15" s="22" t="s">
        <v>117</v>
      </c>
      <c r="K15" s="152"/>
      <c r="L15" s="9"/>
      <c r="M15" s="22" t="s">
        <v>0</v>
      </c>
      <c r="N15" s="22" t="s">
        <v>28</v>
      </c>
      <c r="O15" s="22" t="s">
        <v>3</v>
      </c>
      <c r="P15" s="22" t="s">
        <v>29</v>
      </c>
      <c r="Q15" s="22" t="s">
        <v>60</v>
      </c>
      <c r="R15" s="22" t="s">
        <v>15</v>
      </c>
      <c r="S15" s="22" t="s">
        <v>30</v>
      </c>
      <c r="T15" s="61"/>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row>
    <row r="16" spans="1:60" ht="15" customHeight="1">
      <c r="A16" s="32" t="s">
        <v>0</v>
      </c>
      <c r="B16" s="32" t="s">
        <v>1</v>
      </c>
      <c r="C16" s="32" t="s">
        <v>76</v>
      </c>
      <c r="D16" s="32" t="s">
        <v>3</v>
      </c>
      <c r="E16" s="212"/>
      <c r="F16" s="32" t="s">
        <v>0</v>
      </c>
      <c r="G16" s="147" t="s">
        <v>70</v>
      </c>
      <c r="H16" s="33" t="s">
        <v>29</v>
      </c>
      <c r="I16" s="32" t="s">
        <v>4</v>
      </c>
      <c r="J16" s="32" t="s">
        <v>118</v>
      </c>
      <c r="K16" s="148"/>
      <c r="L16" s="9"/>
      <c r="M16" s="32" t="s">
        <v>55</v>
      </c>
      <c r="N16" s="32" t="s">
        <v>54</v>
      </c>
      <c r="O16" s="32" t="s">
        <v>57</v>
      </c>
      <c r="P16" s="32" t="s">
        <v>58</v>
      </c>
      <c r="Q16" s="32" t="s">
        <v>59</v>
      </c>
      <c r="R16" s="32" t="s">
        <v>65</v>
      </c>
      <c r="S16" s="32" t="s">
        <v>61</v>
      </c>
      <c r="T16" s="32" t="s">
        <v>5</v>
      </c>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row>
    <row r="17" spans="1:60" ht="15" customHeight="1">
      <c r="A17" s="167" t="s">
        <v>55</v>
      </c>
      <c r="B17" s="167" t="s">
        <v>79</v>
      </c>
      <c r="C17" s="167" t="s">
        <v>56</v>
      </c>
      <c r="D17" s="167" t="s">
        <v>56</v>
      </c>
      <c r="E17" s="213"/>
      <c r="F17" s="171" t="s">
        <v>16</v>
      </c>
      <c r="G17" s="24" t="s">
        <v>71</v>
      </c>
      <c r="H17" s="167" t="s">
        <v>72</v>
      </c>
      <c r="I17" s="42" t="s">
        <v>62</v>
      </c>
      <c r="J17" s="86" t="str">
        <f>Introduction!D$11</f>
        <v>30q30</v>
      </c>
      <c r="K17" s="25" t="s">
        <v>5</v>
      </c>
      <c r="L17" s="10"/>
      <c r="M17" s="62"/>
      <c r="N17" s="34" t="s">
        <v>45</v>
      </c>
      <c r="O17" s="167" t="s">
        <v>33</v>
      </c>
      <c r="P17" s="34" t="s">
        <v>50</v>
      </c>
      <c r="Q17" s="167" t="s">
        <v>34</v>
      </c>
      <c r="R17" s="167" t="s">
        <v>69</v>
      </c>
      <c r="S17" s="34" t="s">
        <v>52</v>
      </c>
      <c r="T17" s="62"/>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row>
    <row r="18" spans="1:60" ht="15" customHeight="1">
      <c r="A18" s="26" t="s">
        <v>6</v>
      </c>
      <c r="B18" s="180">
        <v>1391310</v>
      </c>
      <c r="C18" s="180">
        <v>1339010</v>
      </c>
      <c r="D18" s="63">
        <f>C18/B18</f>
        <v>0.96240952771129362</v>
      </c>
      <c r="E18" s="137">
        <f t="shared" ref="E18:E24" ca="1" si="10">MBAR_m</f>
        <v>33.506450726241425</v>
      </c>
      <c r="F18" s="169">
        <v>10</v>
      </c>
      <c r="G18" s="48">
        <f ca="1">IF(AND(D18&gt;0,D18&lt;1,D19&gt;0,D19&lt;1),'Model data'!J17+'Model data'!K17*E18 +'Model data'!L17*D18+'Model data'!M17*D19,NA())</f>
        <v>0.93389488449720814</v>
      </c>
      <c r="H18" s="48">
        <f>'Model data'!D31</f>
        <v>0.75558816659335271</v>
      </c>
      <c r="I18" s="138">
        <f ca="1">-0.5*LN(1+(G18/H18-1/'Model data'!$D$28)/(1-G18))</f>
        <v>-0.21850806649451829</v>
      </c>
      <c r="J18" s="187">
        <f ca="1">1-(1+EXP(2*(I18+IF(Introduction!D$11="45q15",'Model data'!$C$24,'Model data'!$C$27))))/(1+EXP(2*(I18+'Model data'!$C$33)))</f>
        <v>0.17451882403717056</v>
      </c>
      <c r="K18" s="188">
        <f ca="1">T18</f>
        <v>1992.7478712144125</v>
      </c>
      <c r="L18" s="11"/>
      <c r="M18" s="26" t="s">
        <v>6</v>
      </c>
      <c r="N18" s="40">
        <v>10</v>
      </c>
      <c r="O18" s="27">
        <f t="shared" ref="O18:O24" si="11">SQRT(D18*D19)</f>
        <v>0.93066413737949605</v>
      </c>
      <c r="P18" s="27">
        <f t="shared" ref="P18:P24" ca="1" si="12">(1-(MBAR_m+N18)/80)/(1-(MBAR_m-0.75)/80)</f>
        <v>0.772455707387525</v>
      </c>
      <c r="Q18" s="27">
        <f t="shared" ref="Q18:Q24" ca="1" si="13">LN(O18/P18)/3</f>
        <v>6.2107929027369634E-2</v>
      </c>
      <c r="R18" s="46">
        <f>(N18+0.75)/2</f>
        <v>5.375</v>
      </c>
      <c r="S18" s="28">
        <f t="shared" ref="S18:S24" ca="1" si="14">R18*(1-Q18)</f>
        <v>5.041169881477888</v>
      </c>
      <c r="T18" s="38">
        <f t="shared" ref="T18:T24" ca="1" si="15">Date_of_survey-S18</f>
        <v>1992.7478712144125</v>
      </c>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row>
    <row r="19" spans="1:60" ht="15" customHeight="1">
      <c r="A19" s="26" t="s">
        <v>7</v>
      </c>
      <c r="B19" s="179">
        <v>1172300</v>
      </c>
      <c r="C19" s="179">
        <v>1055030</v>
      </c>
      <c r="D19" s="63">
        <f t="shared" ref="D19:D25" si="16">C19/B19</f>
        <v>0.89996587904120107</v>
      </c>
      <c r="E19" s="137">
        <f t="shared" ca="1" si="10"/>
        <v>33.506450726241425</v>
      </c>
      <c r="F19" s="170">
        <v>15</v>
      </c>
      <c r="G19" s="48">
        <f ca="1">IF(AND(D19&gt;0,D19&lt;1,D20&gt;0,D20&lt;1),'Model data'!J18+'Model data'!K18*E19 +'Model data'!L18*D19+'Model data'!M18*D20,NA())</f>
        <v>0.89918659708575532</v>
      </c>
      <c r="H19" s="48">
        <f>'Model data'!D31</f>
        <v>0.75558816659335271</v>
      </c>
      <c r="I19" s="138">
        <f ca="1">-0.5*LN(1+(G19/H19-1/'Model data'!$D$28)/(1-G19))</f>
        <v>5.0607867268957031E-2</v>
      </c>
      <c r="J19" s="187">
        <f ca="1">1-(1+EXP(2*(I19+IF(Introduction!D$11="45q15",'Model data'!$C$24,'Model data'!$C$27))))/(1+EXP(2*(I19+'Model data'!$C$33)))</f>
        <v>0.2523075449177602</v>
      </c>
      <c r="K19" s="188">
        <f ca="1">T19</f>
        <v>1990.6148890558795</v>
      </c>
      <c r="L19" s="11"/>
      <c r="M19" s="26" t="s">
        <v>7</v>
      </c>
      <c r="N19" s="40">
        <f>N18+5</f>
        <v>15</v>
      </c>
      <c r="O19" s="27">
        <f t="shared" si="11"/>
        <v>0.87062521946626392</v>
      </c>
      <c r="P19" s="27">
        <f t="shared" ca="1" si="12"/>
        <v>0.66662115268404831</v>
      </c>
      <c r="Q19" s="27">
        <f t="shared" ca="1" si="13"/>
        <v>8.8996566347848194E-2</v>
      </c>
      <c r="R19" s="47">
        <f t="shared" ref="R19:R22" si="17">(N19+0.75)/2</f>
        <v>7.875</v>
      </c>
      <c r="S19" s="28">
        <f t="shared" ca="1" si="14"/>
        <v>7.1741520400106946</v>
      </c>
      <c r="T19" s="38">
        <f t="shared" ca="1" si="15"/>
        <v>1990.6148890558795</v>
      </c>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row>
    <row r="20" spans="1:60" ht="15" customHeight="1">
      <c r="A20" s="26" t="s">
        <v>8</v>
      </c>
      <c r="B20" s="180">
        <v>1076960</v>
      </c>
      <c r="C20" s="180">
        <v>907060</v>
      </c>
      <c r="D20" s="63">
        <f t="shared" si="16"/>
        <v>0.84224112316149158</v>
      </c>
      <c r="E20" s="137">
        <f t="shared" ca="1" si="10"/>
        <v>33.506450726241425</v>
      </c>
      <c r="F20" s="170">
        <v>20</v>
      </c>
      <c r="G20" s="48">
        <f ca="1">IF(AND(D20&gt;0,D20&lt;1,D21&gt;0,D21&lt;1),'Model data'!J19+'Model data'!K19*E20 +'Model data'!L19*D20+'Model data'!M19*D21,NA())</f>
        <v>0.84363076521554592</v>
      </c>
      <c r="H20" s="48">
        <f>'Model data'!D32</f>
        <v>0.71027415735971011</v>
      </c>
      <c r="I20" s="138">
        <f ca="1">-0.5*LN(1+(G20/H20-1/'Model data'!$D$28)/(1-G20))</f>
        <v>3.9920652708925322E-2</v>
      </c>
      <c r="J20" s="187">
        <f ca="1">1-(1+EXP(2*(I20+IF(Introduction!D$11="45q15",'Model data'!$C$24,'Model data'!$C$27))))/(1+EXP(2*(I20+'Model data'!$C$33)))</f>
        <v>0.24894515812649665</v>
      </c>
      <c r="K20" s="188">
        <f ca="1">T20</f>
        <v>1988.7123578664639</v>
      </c>
      <c r="L20" s="11"/>
      <c r="M20" s="26" t="s">
        <v>8</v>
      </c>
      <c r="N20" s="40">
        <f t="shared" ref="N20:N24" si="18">N19+5</f>
        <v>20</v>
      </c>
      <c r="O20" s="27">
        <f t="shared" si="11"/>
        <v>0.81627991963860558</v>
      </c>
      <c r="P20" s="27">
        <f t="shared" ca="1" si="12"/>
        <v>0.56078659798057162</v>
      </c>
      <c r="Q20" s="27">
        <f t="shared" ca="1" si="13"/>
        <v>0.1251389658384133</v>
      </c>
      <c r="R20" s="47">
        <f t="shared" si="17"/>
        <v>10.375</v>
      </c>
      <c r="S20" s="28">
        <f t="shared" ca="1" si="14"/>
        <v>9.076683229426461</v>
      </c>
      <c r="T20" s="38">
        <f t="shared" ca="1" si="15"/>
        <v>1988.7123578664639</v>
      </c>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row>
    <row r="21" spans="1:60" ht="15" customHeight="1">
      <c r="A21" s="26" t="s">
        <v>9</v>
      </c>
      <c r="B21" s="179">
        <v>913630</v>
      </c>
      <c r="C21" s="179">
        <v>722790</v>
      </c>
      <c r="D21" s="63">
        <f t="shared" si="16"/>
        <v>0.79111894311701669</v>
      </c>
      <c r="E21" s="137">
        <f t="shared" ca="1" si="10"/>
        <v>33.506450726241425</v>
      </c>
      <c r="F21" s="170">
        <v>25</v>
      </c>
      <c r="G21" s="48">
        <f ca="1">IF(AND(D21&gt;0,D21&lt;1,D22&gt;0,D22&lt;1),'Model data'!J20+'Model data'!K20*E21 +'Model data'!L20*D21+'Model data'!M20*D22,NA())</f>
        <v>0.77854397981467849</v>
      </c>
      <c r="H21" s="48">
        <f>'Model data'!D33</f>
        <v>0.64857401363075629</v>
      </c>
      <c r="I21" s="138">
        <f ca="1">-0.5*LN(1+(G21/H21-1/'Model data'!$D$28)/(1-G21))</f>
        <v>-1.4437616102133889E-3</v>
      </c>
      <c r="J21" s="187">
        <f ca="1">1-(1+EXP(2*(I21+IF(Introduction!D$11="45q15",'Model data'!$C$24,'Model data'!$C$27))))/(1+EXP(2*(I21+'Model data'!$C$33)))</f>
        <v>0.23611240337810935</v>
      </c>
      <c r="K21" s="188">
        <f ca="1">T21</f>
        <v>1987.0455512791127</v>
      </c>
      <c r="L21" s="11"/>
      <c r="M21" s="26" t="s">
        <v>9</v>
      </c>
      <c r="N21" s="40">
        <f t="shared" si="18"/>
        <v>25</v>
      </c>
      <c r="O21" s="27">
        <f t="shared" si="11"/>
        <v>0.74758991149621068</v>
      </c>
      <c r="P21" s="27">
        <f t="shared" ca="1" si="12"/>
        <v>0.45495204327709488</v>
      </c>
      <c r="Q21" s="27">
        <f t="shared" ca="1" si="13"/>
        <v>0.16555418898815313</v>
      </c>
      <c r="R21" s="47">
        <f t="shared" si="17"/>
        <v>12.875</v>
      </c>
      <c r="S21" s="28">
        <f t="shared" ca="1" si="14"/>
        <v>10.743489816777529</v>
      </c>
      <c r="T21" s="38">
        <f t="shared" ca="1" si="15"/>
        <v>1987.0455512791127</v>
      </c>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row>
    <row r="22" spans="1:60" ht="15" customHeight="1">
      <c r="A22" s="26" t="s">
        <v>10</v>
      </c>
      <c r="B22" s="180">
        <v>797870</v>
      </c>
      <c r="C22" s="180">
        <v>563660</v>
      </c>
      <c r="D22" s="63">
        <f t="shared" si="16"/>
        <v>0.70645593893742087</v>
      </c>
      <c r="E22" s="137">
        <f t="shared" ca="1" si="10"/>
        <v>33.506450726241425</v>
      </c>
      <c r="F22" s="170">
        <v>30</v>
      </c>
      <c r="G22" s="48">
        <f ca="1">IF(AND(D22&gt;0,D22&lt;1,D23&gt;0,D23&lt;1),'Model data'!J21+'Model data'!K21*E22 +'Model data'!L21*D22+'Model data'!M21*D23,NA())</f>
        <v>0.67561982180739899</v>
      </c>
      <c r="H22" s="48">
        <f>'Model data'!D34</f>
        <v>0.56571082144915019</v>
      </c>
      <c r="I22" s="138">
        <f ca="1">-0.5*LN(1+(G22/H22-1/'Model data'!$D$28)/(1-G22))</f>
        <v>8.5006395698727488E-3</v>
      </c>
      <c r="J22" s="187">
        <f ca="1">1-(1+EXP(2*(I22+IF(Introduction!D$11="45q15",'Model data'!$C$24,'Model data'!$C$27))))/(1+EXP(2*(I22+'Model data'!$C$33)))</f>
        <v>0.23917016643382683</v>
      </c>
      <c r="K22" s="188">
        <f ca="1">IF(T22&gt;=T21,NA(),T22)</f>
        <v>1985.6106352515139</v>
      </c>
      <c r="L22" s="11"/>
      <c r="M22" s="26" t="s">
        <v>10</v>
      </c>
      <c r="N22" s="40">
        <f t="shared" si="18"/>
        <v>30</v>
      </c>
      <c r="O22" s="27">
        <f t="shared" si="11"/>
        <v>0.65140671276902606</v>
      </c>
      <c r="P22" s="27">
        <f t="shared" ca="1" si="12"/>
        <v>0.34911748857361813</v>
      </c>
      <c r="Q22" s="27">
        <f t="shared" ca="1" si="13"/>
        <v>0.20790856296738947</v>
      </c>
      <c r="R22" s="47">
        <f t="shared" si="17"/>
        <v>15.375</v>
      </c>
      <c r="S22" s="28">
        <f t="shared" ca="1" si="14"/>
        <v>12.178405844376387</v>
      </c>
      <c r="T22" s="38">
        <f t="shared" ca="1" si="15"/>
        <v>1985.6106352515139</v>
      </c>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row>
    <row r="23" spans="1:60" ht="15" customHeight="1">
      <c r="A23" s="26" t="s">
        <v>11</v>
      </c>
      <c r="B23" s="179">
        <v>618150</v>
      </c>
      <c r="C23" s="179">
        <v>371290</v>
      </c>
      <c r="D23" s="63">
        <f t="shared" si="16"/>
        <v>0.60064709212974199</v>
      </c>
      <c r="E23" s="137">
        <f t="shared" ca="1" si="10"/>
        <v>33.506450726241425</v>
      </c>
      <c r="F23" s="170">
        <v>35</v>
      </c>
      <c r="G23" s="48">
        <f ca="1">IF(AND(D23&gt;0,D23&lt;1,D24&gt;0,D24&lt;1),'Model data'!J22+'Model data'!K22*E23 +'Model data'!L22*D23+'Model data'!M22*D24,NA())</f>
        <v>0.54825205979464209</v>
      </c>
      <c r="H23" s="48">
        <f>'Model data'!D35</f>
        <v>0.45955087928190458</v>
      </c>
      <c r="I23" s="138">
        <f ca="1">-0.5*LN(1+(G23/H23-1/'Model data'!$D$28)/(1-G23))</f>
        <v>7.5115531610637828E-3</v>
      </c>
      <c r="J23" s="187">
        <f ca="1">1-(1+EXP(2*(I23+IF(Introduction!D$11="45q15",'Model data'!$C$24,'Model data'!$C$27))))/(1+EXP(2*(I23+'Model data'!$C$33)))</f>
        <v>0.23886523847506169</v>
      </c>
      <c r="K23" s="188">
        <f t="shared" ref="K23:K24" ca="1" si="19">IF(T23&gt;=T22,NA(),T23)</f>
        <v>1984.6645704917962</v>
      </c>
      <c r="L23" s="11"/>
      <c r="M23" s="26" t="s">
        <v>11</v>
      </c>
      <c r="N23" s="40">
        <f t="shared" si="18"/>
        <v>35</v>
      </c>
      <c r="O23" s="27">
        <f t="shared" si="11"/>
        <v>0.53997171027453827</v>
      </c>
      <c r="P23" s="27">
        <f t="shared" ca="1" si="12"/>
        <v>0.24328293387014144</v>
      </c>
      <c r="Q23" s="27">
        <f t="shared" ca="1" si="13"/>
        <v>0.26576388228844439</v>
      </c>
      <c r="R23" s="47">
        <f>(N23+0.75)/2</f>
        <v>17.875</v>
      </c>
      <c r="S23" s="28">
        <f t="shared" ca="1" si="14"/>
        <v>13.124470604094057</v>
      </c>
      <c r="T23" s="38">
        <f t="shared" ca="1" si="15"/>
        <v>1984.6645704917962</v>
      </c>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row>
    <row r="24" spans="1:60" ht="15" customHeight="1">
      <c r="A24" s="43" t="s">
        <v>12</v>
      </c>
      <c r="B24" s="180">
        <v>419570</v>
      </c>
      <c r="C24" s="180">
        <v>203670</v>
      </c>
      <c r="D24" s="63">
        <f t="shared" si="16"/>
        <v>0.48542555473460924</v>
      </c>
      <c r="E24" s="137">
        <f t="shared" ca="1" si="10"/>
        <v>33.506450726241425</v>
      </c>
      <c r="F24" s="170">
        <v>40</v>
      </c>
      <c r="G24" s="48">
        <f ca="1">IF(AND(D24&gt;0,D24&lt;1,D25&gt;0,D25&lt;1),'Model data'!J23+'Model data'!K23*E24 +'Model data'!L23*D24+'Model data'!M23*D25,NA())</f>
        <v>0.3841080409699022</v>
      </c>
      <c r="H24" s="48">
        <f>'Model data'!D36</f>
        <v>0.33555954367971813</v>
      </c>
      <c r="I24" s="138">
        <f ca="1">-0.5*LN(1+(G24/H24-1/'Model data'!$D$28)/(1-G24))</f>
        <v>4.6837426025505349E-2</v>
      </c>
      <c r="J24" s="187">
        <f ca="1">1-(1+EXP(2*(I24+IF(Introduction!D$11="45q15",'Model data'!$C$24,'Model data'!$C$27))))/(1+EXP(2*(I24+'Model data'!$C$33)))</f>
        <v>0.25111920575396451</v>
      </c>
      <c r="K24" s="188" t="e">
        <f t="shared" ca="1" si="19"/>
        <v>#N/A</v>
      </c>
      <c r="L24" s="11"/>
      <c r="M24" s="43" t="s">
        <v>12</v>
      </c>
      <c r="N24" s="159">
        <f t="shared" si="18"/>
        <v>40</v>
      </c>
      <c r="O24" s="50">
        <f t="shared" si="11"/>
        <v>0.41203111450992935</v>
      </c>
      <c r="P24" s="50">
        <f t="shared" ca="1" si="12"/>
        <v>0.13744837916666472</v>
      </c>
      <c r="Q24" s="50">
        <f t="shared" ca="1" si="13"/>
        <v>0.3659501482594299</v>
      </c>
      <c r="R24" s="47">
        <f t="shared" ref="R24" si="20">(N24+0.75)/2</f>
        <v>20.375</v>
      </c>
      <c r="S24" s="47">
        <f t="shared" ca="1" si="14"/>
        <v>12.918765729214117</v>
      </c>
      <c r="T24" s="38">
        <f t="shared" ca="1" si="15"/>
        <v>1984.8702753666762</v>
      </c>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row>
    <row r="25" spans="1:60" ht="15" customHeight="1">
      <c r="A25" s="44" t="s">
        <v>13</v>
      </c>
      <c r="B25" s="181">
        <v>414830</v>
      </c>
      <c r="C25" s="181">
        <v>145080</v>
      </c>
      <c r="D25" s="64">
        <f t="shared" si="16"/>
        <v>0.34973362582262613</v>
      </c>
      <c r="E25" s="64"/>
      <c r="F25" s="172"/>
      <c r="G25" s="30"/>
      <c r="H25" s="30"/>
      <c r="I25" s="30"/>
      <c r="J25" s="30"/>
      <c r="K25" s="30"/>
      <c r="L25" s="11"/>
      <c r="M25" s="62"/>
      <c r="N25" s="160"/>
      <c r="O25" s="161"/>
      <c r="P25" s="62"/>
      <c r="Q25" s="160"/>
      <c r="R25" s="162"/>
      <c r="S25" s="160"/>
      <c r="T25" s="16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row>
    <row r="26" spans="1:60" ht="15" customHeight="1">
      <c r="A26" s="174" t="s">
        <v>129</v>
      </c>
      <c r="G26" s="13"/>
      <c r="H26" s="14"/>
      <c r="I26" s="66"/>
      <c r="J26" s="13"/>
      <c r="K26" s="65"/>
      <c r="L26" s="3"/>
      <c r="R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1:60" ht="15" customHeight="1">
      <c r="A27" s="151"/>
      <c r="B27" s="150"/>
      <c r="C27" s="150"/>
      <c r="D27" s="150"/>
      <c r="E27" s="211" t="s">
        <v>119</v>
      </c>
      <c r="F27" s="164"/>
      <c r="G27" s="150"/>
      <c r="H27" s="150"/>
      <c r="I27" s="150"/>
      <c r="J27" s="22" t="s">
        <v>117</v>
      </c>
      <c r="K27" s="152"/>
      <c r="L27" s="9"/>
      <c r="M27" s="22" t="s">
        <v>0</v>
      </c>
      <c r="N27" s="22" t="s">
        <v>28</v>
      </c>
      <c r="O27" s="22" t="s">
        <v>3</v>
      </c>
      <c r="P27" s="22" t="s">
        <v>29</v>
      </c>
      <c r="Q27" s="22" t="s">
        <v>60</v>
      </c>
      <c r="R27" s="22" t="s">
        <v>15</v>
      </c>
      <c r="S27" s="22" t="s">
        <v>30</v>
      </c>
      <c r="T27" s="61"/>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1:60" ht="15" customHeight="1">
      <c r="A28" s="32" t="s">
        <v>0</v>
      </c>
      <c r="B28" s="32" t="s">
        <v>1</v>
      </c>
      <c r="C28" s="32" t="s">
        <v>76</v>
      </c>
      <c r="D28" s="32" t="s">
        <v>3</v>
      </c>
      <c r="E28" s="212"/>
      <c r="F28" s="32" t="s">
        <v>0</v>
      </c>
      <c r="G28" s="147" t="s">
        <v>70</v>
      </c>
      <c r="H28" s="33" t="s">
        <v>29</v>
      </c>
      <c r="I28" s="32" t="s">
        <v>4</v>
      </c>
      <c r="J28" s="32" t="s">
        <v>118</v>
      </c>
      <c r="K28" s="148"/>
      <c r="L28" s="9"/>
      <c r="M28" s="32" t="s">
        <v>55</v>
      </c>
      <c r="N28" s="32" t="s">
        <v>54</v>
      </c>
      <c r="O28" s="32" t="s">
        <v>57</v>
      </c>
      <c r="P28" s="32" t="s">
        <v>58</v>
      </c>
      <c r="Q28" s="32" t="s">
        <v>59</v>
      </c>
      <c r="R28" s="32" t="s">
        <v>65</v>
      </c>
      <c r="S28" s="32" t="s">
        <v>61</v>
      </c>
      <c r="T28" s="32" t="s">
        <v>5</v>
      </c>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1:60" ht="15" customHeight="1">
      <c r="A29" s="167" t="s">
        <v>55</v>
      </c>
      <c r="B29" s="167" t="s">
        <v>79</v>
      </c>
      <c r="C29" s="167" t="s">
        <v>56</v>
      </c>
      <c r="D29" s="167" t="s">
        <v>56</v>
      </c>
      <c r="E29" s="213"/>
      <c r="F29" s="171" t="s">
        <v>16</v>
      </c>
      <c r="G29" s="24" t="s">
        <v>71</v>
      </c>
      <c r="H29" s="167" t="s">
        <v>72</v>
      </c>
      <c r="I29" s="42" t="s">
        <v>62</v>
      </c>
      <c r="J29" s="86" t="str">
        <f>Introduction!D$11</f>
        <v>30q30</v>
      </c>
      <c r="K29" s="25" t="s">
        <v>5</v>
      </c>
      <c r="L29" s="10"/>
      <c r="M29" s="62"/>
      <c r="N29" s="34" t="s">
        <v>45</v>
      </c>
      <c r="O29" s="167" t="s">
        <v>33</v>
      </c>
      <c r="P29" s="34" t="s">
        <v>50</v>
      </c>
      <c r="Q29" s="167" t="s">
        <v>34</v>
      </c>
      <c r="R29" s="167" t="s">
        <v>69</v>
      </c>
      <c r="S29" s="34" t="s">
        <v>52</v>
      </c>
      <c r="T29" s="62"/>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1:60" ht="15" customHeight="1">
      <c r="A30" s="26" t="s">
        <v>6</v>
      </c>
      <c r="B30" s="206">
        <f>B6+B18</f>
        <v>2834210</v>
      </c>
      <c r="C30" s="206">
        <f>C6+C18</f>
        <v>2727110</v>
      </c>
      <c r="D30" s="63">
        <f>C30/B30</f>
        <v>0.96221169214701807</v>
      </c>
      <c r="E30" s="137">
        <f t="shared" ref="E30:E36" ca="1" si="21">MBAR_m</f>
        <v>33.506450726241425</v>
      </c>
      <c r="F30" s="169">
        <v>10</v>
      </c>
      <c r="G30" s="48">
        <f ca="1">IF(AND(D30&gt;0,D30&lt;1,D31&gt;0,D31&lt;1),'Model data'!J17+'Model data'!K17*E30 +'Model data'!L17*D30+'Model data'!M17*D31,NA())</f>
        <v>0.93359660598166694</v>
      </c>
      <c r="H30" s="48">
        <f>'Model data'!D31</f>
        <v>0.75558816659335271</v>
      </c>
      <c r="I30" s="138">
        <f ca="1">-0.5*LN(1+(G30/H30-1/'Model data'!$D$28)/(1-G30))</f>
        <v>-0.21578541464975928</v>
      </c>
      <c r="J30" s="187">
        <f ca="1">1-(1+EXP(2*(I30+IF(Introduction!D$11="45q15",'Model data'!$C$24,'Model data'!$C$27))))/(1+EXP(2*(I30+'Model data'!$C$33)))</f>
        <v>0.17522367282385343</v>
      </c>
      <c r="K30" s="188">
        <f ca="1">T30</f>
        <v>1992.747582820808</v>
      </c>
      <c r="L30" s="11"/>
      <c r="M30" s="26" t="s">
        <v>6</v>
      </c>
      <c r="N30" s="40">
        <v>10</v>
      </c>
      <c r="O30" s="27">
        <f t="shared" ref="O30:O36" si="22">SQRT(D30*D31)</f>
        <v>0.93051434613198503</v>
      </c>
      <c r="P30" s="27">
        <f t="shared" ref="P30:P36" ca="1" si="23">(1-(MBAR_m+N30)/80)/(1-(MBAR_m-0.75)/80)</f>
        <v>0.772455707387525</v>
      </c>
      <c r="Q30" s="27">
        <f t="shared" ref="Q30:Q36" ca="1" si="24">LN(O30/P30)/3</f>
        <v>6.2054274403283725E-2</v>
      </c>
      <c r="R30" s="46">
        <f>(N30+0.75)/2</f>
        <v>5.375</v>
      </c>
      <c r="S30" s="28">
        <f t="shared" ref="S30:S36" ca="1" si="25">R30*(1-Q30)</f>
        <v>5.0414582750823502</v>
      </c>
      <c r="T30" s="38">
        <f t="shared" ref="T30:T36" ca="1" si="26">Date_of_survey-S30</f>
        <v>1992.747582820808</v>
      </c>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1:60" ht="15" customHeight="1">
      <c r="A31" s="26" t="s">
        <v>7</v>
      </c>
      <c r="B31" s="207">
        <f t="shared" ref="B31:C37" si="27">B7+B19</f>
        <v>2391580</v>
      </c>
      <c r="C31" s="207">
        <f t="shared" si="27"/>
        <v>2152090</v>
      </c>
      <c r="D31" s="63">
        <f t="shared" ref="D31:D37" si="28">C31/B31</f>
        <v>0.89986117963856527</v>
      </c>
      <c r="E31" s="137">
        <f t="shared" ca="1" si="21"/>
        <v>33.506450726241425</v>
      </c>
      <c r="F31" s="170">
        <v>15</v>
      </c>
      <c r="G31" s="48">
        <f ca="1">IF(AND(D31&gt;0,D31&lt;1,D32&gt;0,D32&lt;1),'Model data'!J18+'Model data'!K18*E31 +'Model data'!L18*D31+'Model data'!M18*D32,NA())</f>
        <v>0.90003139419698497</v>
      </c>
      <c r="H31" s="48">
        <f>'Model data'!D31</f>
        <v>0.75558816659335271</v>
      </c>
      <c r="I31" s="138">
        <f ca="1">-0.5*LN(1+(G31/H31-1/'Model data'!$D$28)/(1-G31))</f>
        <v>4.4902872848756201E-2</v>
      </c>
      <c r="J31" s="187">
        <f ca="1">1-(1+EXP(2*(I31+IF(Introduction!D$11="45q15",'Model data'!$C$24,'Model data'!$C$27))))/(1+EXP(2*(I31+'Model data'!$C$33)))</f>
        <v>0.25051036843835861</v>
      </c>
      <c r="K31" s="188">
        <f ca="1">T31</f>
        <v>1990.6102681059062</v>
      </c>
      <c r="L31" s="11"/>
      <c r="M31" s="26" t="s">
        <v>7</v>
      </c>
      <c r="N31" s="40">
        <f>N30+5</f>
        <v>15</v>
      </c>
      <c r="O31" s="27">
        <f t="shared" si="22"/>
        <v>0.86909395219316232</v>
      </c>
      <c r="P31" s="27">
        <f t="shared" ca="1" si="23"/>
        <v>0.66662115268404831</v>
      </c>
      <c r="Q31" s="27">
        <f t="shared" ca="1" si="24"/>
        <v>8.8409779049652748E-2</v>
      </c>
      <c r="R31" s="47">
        <f t="shared" ref="R31:R34" si="29">(N31+0.75)/2</f>
        <v>7.875</v>
      </c>
      <c r="S31" s="28">
        <f t="shared" ca="1" si="25"/>
        <v>7.1787729899839849</v>
      </c>
      <c r="T31" s="38">
        <f t="shared" ca="1" si="26"/>
        <v>1990.6102681059062</v>
      </c>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1:60" ht="15" customHeight="1">
      <c r="A32" s="26" t="s">
        <v>8</v>
      </c>
      <c r="B32" s="207">
        <f t="shared" si="27"/>
        <v>2181840</v>
      </c>
      <c r="C32" s="207">
        <f t="shared" si="27"/>
        <v>1831390</v>
      </c>
      <c r="D32" s="63">
        <f t="shared" si="28"/>
        <v>0.83937868954643791</v>
      </c>
      <c r="E32" s="137">
        <f t="shared" ca="1" si="21"/>
        <v>33.506450726241425</v>
      </c>
      <c r="F32" s="170">
        <v>20</v>
      </c>
      <c r="G32" s="48">
        <f ca="1">IF(AND(D32&gt;0,D32&lt;1,D33&gt;0,D33&lt;1),'Model data'!J19+'Model data'!K19*E32 +'Model data'!L19*D32+'Model data'!M19*D33,NA())</f>
        <v>0.83983958183637264</v>
      </c>
      <c r="H32" s="48">
        <f>'Model data'!D32</f>
        <v>0.71027415735971011</v>
      </c>
      <c r="I32" s="138">
        <f ca="1">-0.5*LN(1+(G32/H32-1/'Model data'!$D$28)/(1-G32))</f>
        <v>5.7283319177758085E-2</v>
      </c>
      <c r="J32" s="187">
        <f ca="1">1-(1+EXP(2*(I32+IF(Introduction!D$11="45q15",'Model data'!$C$24,'Model data'!$C$27))))/(1+EXP(2*(I32+'Model data'!$C$33)))</f>
        <v>0.25441695309504375</v>
      </c>
      <c r="K32" s="188">
        <f ca="1">T32</f>
        <v>1988.6943722770134</v>
      </c>
      <c r="L32" s="11"/>
      <c r="M32" s="26" t="s">
        <v>8</v>
      </c>
      <c r="N32" s="40">
        <f t="shared" ref="N32:N36" si="30">N31+5</f>
        <v>20</v>
      </c>
      <c r="O32" s="27">
        <f t="shared" si="22"/>
        <v>0.81204575130111956</v>
      </c>
      <c r="P32" s="27">
        <f t="shared" ca="1" si="23"/>
        <v>0.56078659798057162</v>
      </c>
      <c r="Q32" s="27">
        <f t="shared" ca="1" si="24"/>
        <v>0.12340541504799725</v>
      </c>
      <c r="R32" s="47">
        <f t="shared" si="29"/>
        <v>10.375</v>
      </c>
      <c r="S32" s="28">
        <f t="shared" ca="1" si="25"/>
        <v>9.0946688188770288</v>
      </c>
      <c r="T32" s="38">
        <f t="shared" ca="1" si="26"/>
        <v>1988.6943722770134</v>
      </c>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1:60" ht="15" customHeight="1">
      <c r="A33" s="26" t="s">
        <v>9</v>
      </c>
      <c r="B33" s="207">
        <f t="shared" si="27"/>
        <v>1827030</v>
      </c>
      <c r="C33" s="207">
        <f t="shared" si="27"/>
        <v>1435320</v>
      </c>
      <c r="D33" s="63">
        <f t="shared" si="28"/>
        <v>0.78560286366397925</v>
      </c>
      <c r="E33" s="137">
        <f t="shared" ca="1" si="21"/>
        <v>33.506450726241425</v>
      </c>
      <c r="F33" s="170">
        <v>25</v>
      </c>
      <c r="G33" s="48">
        <f ca="1">IF(AND(D33&gt;0,D33&lt;1,D34&gt;0,D34&lt;1),'Model data'!J20+'Model data'!K20*E33 +'Model data'!L20*D33+'Model data'!M20*D34,NA())</f>
        <v>0.7706694356819308</v>
      </c>
      <c r="H33" s="48">
        <f>'Model data'!D33</f>
        <v>0.64857401363075629</v>
      </c>
      <c r="I33" s="138">
        <f ca="1">-0.5*LN(1+(G33/H33-1/'Model data'!$D$28)/(1-G33))</f>
        <v>2.5725618919042119E-2</v>
      </c>
      <c r="J33" s="187">
        <f ca="1">1-(1+EXP(2*(I33+IF(Introduction!D$11="45q15",'Model data'!$C$24,'Model data'!$C$27))))/(1+EXP(2*(I33+'Model data'!$C$33)))</f>
        <v>0.24450809991024303</v>
      </c>
      <c r="K33" s="188">
        <f ca="1">T33</f>
        <v>1987.0046752628398</v>
      </c>
      <c r="L33" s="11"/>
      <c r="M33" s="26" t="s">
        <v>9</v>
      </c>
      <c r="N33" s="40">
        <f t="shared" si="30"/>
        <v>25</v>
      </c>
      <c r="O33" s="27">
        <f t="shared" si="22"/>
        <v>0.74050328680210253</v>
      </c>
      <c r="P33" s="27">
        <f t="shared" ca="1" si="23"/>
        <v>0.45495204327709488</v>
      </c>
      <c r="Q33" s="27">
        <f t="shared" ca="1" si="24"/>
        <v>0.16237935277278351</v>
      </c>
      <c r="R33" s="47">
        <f t="shared" si="29"/>
        <v>12.875</v>
      </c>
      <c r="S33" s="28">
        <f t="shared" ca="1" si="25"/>
        <v>10.784365833050412</v>
      </c>
      <c r="T33" s="38">
        <f t="shared" ca="1" si="26"/>
        <v>1987.0046752628398</v>
      </c>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1:60" ht="15" customHeight="1">
      <c r="A34" s="26" t="s">
        <v>10</v>
      </c>
      <c r="B34" s="207">
        <f t="shared" si="27"/>
        <v>1615160</v>
      </c>
      <c r="C34" s="207">
        <f t="shared" si="27"/>
        <v>1127370</v>
      </c>
      <c r="D34" s="63">
        <f t="shared" si="28"/>
        <v>0.69799276851828918</v>
      </c>
      <c r="E34" s="137">
        <f t="shared" ca="1" si="21"/>
        <v>33.506450726241425</v>
      </c>
      <c r="F34" s="170">
        <v>30</v>
      </c>
      <c r="G34" s="48">
        <f ca="1">IF(AND(D34&gt;0,D34&lt;1,D35&gt;0,D35&lt;1),'Model data'!J21+'Model data'!K21*E34 +'Model data'!L21*D34+'Model data'!M21*D35,NA())</f>
        <v>0.6629185529032392</v>
      </c>
      <c r="H34" s="48">
        <f>'Model data'!D34</f>
        <v>0.56571082144915019</v>
      </c>
      <c r="I34" s="138">
        <f ca="1">-0.5*LN(1+(G34/H34-1/'Model data'!$D$28)/(1-G34))</f>
        <v>4.32307036117218E-2</v>
      </c>
      <c r="J34" s="187">
        <f ca="1">1-(1+EXP(2*(I34+IF(Introduction!D$11="45q15",'Model data'!$C$24,'Model data'!$C$27))))/(1+EXP(2*(I34+'Model data'!$C$33)))</f>
        <v>0.24998459281769891</v>
      </c>
      <c r="K34" s="188">
        <f ca="1">IF(T34&gt;=T33,NA(),T34)</f>
        <v>1985.5274048919823</v>
      </c>
      <c r="L34" s="11"/>
      <c r="M34" s="26" t="s">
        <v>10</v>
      </c>
      <c r="N34" s="40">
        <f t="shared" si="30"/>
        <v>30</v>
      </c>
      <c r="O34" s="27">
        <f t="shared" si="22"/>
        <v>0.64091325988879588</v>
      </c>
      <c r="P34" s="27">
        <f t="shared" ca="1" si="23"/>
        <v>0.34911748857361813</v>
      </c>
      <c r="Q34" s="27">
        <f t="shared" ca="1" si="24"/>
        <v>0.20249520624989178</v>
      </c>
      <c r="R34" s="47">
        <f t="shared" si="29"/>
        <v>15.375</v>
      </c>
      <c r="S34" s="28">
        <f t="shared" ca="1" si="25"/>
        <v>12.261636203907914</v>
      </c>
      <c r="T34" s="38">
        <f t="shared" ca="1" si="26"/>
        <v>1985.5274048919823</v>
      </c>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1:60" ht="15" customHeight="1">
      <c r="A35" s="26" t="s">
        <v>11</v>
      </c>
      <c r="B35" s="207">
        <f t="shared" si="27"/>
        <v>1235120</v>
      </c>
      <c r="C35" s="207">
        <f t="shared" si="27"/>
        <v>726870</v>
      </c>
      <c r="D35" s="63">
        <f t="shared" si="28"/>
        <v>0.58850152211930828</v>
      </c>
      <c r="E35" s="137">
        <f t="shared" ca="1" si="21"/>
        <v>33.506450726241425</v>
      </c>
      <c r="F35" s="170">
        <v>35</v>
      </c>
      <c r="G35" s="48">
        <f ca="1">IF(AND(D35&gt;0,D35&lt;1,D36&gt;0,D36&lt;1),'Model data'!J22+'Model data'!K22*E35 +'Model data'!L22*D35+'Model data'!M22*D36,NA())</f>
        <v>0.54092384387034365</v>
      </c>
      <c r="H35" s="48">
        <f>'Model data'!D35</f>
        <v>0.45955087928190458</v>
      </c>
      <c r="I35" s="138">
        <f ca="1">-0.5*LN(1+(G35/H35-1/'Model data'!$D$28)/(1-G35))</f>
        <v>2.533559164358969E-2</v>
      </c>
      <c r="J35" s="187">
        <f ca="1">1-(1+EXP(2*(I35+IF(Introduction!D$11="45q15",'Model data'!$C$24,'Model data'!$C$27))))/(1+EXP(2*(I35+'Model data'!$C$33)))</f>
        <v>0.24438666400003184</v>
      </c>
      <c r="K35" s="188">
        <f t="shared" ref="K35:K36" ca="1" si="31">IF(T35&gt;=T34,NA(),T35)</f>
        <v>1984.5816105200381</v>
      </c>
      <c r="L35" s="11"/>
      <c r="M35" s="26" t="s">
        <v>11</v>
      </c>
      <c r="N35" s="40">
        <f t="shared" si="30"/>
        <v>35</v>
      </c>
      <c r="O35" s="27">
        <f t="shared" si="22"/>
        <v>0.53250559144893628</v>
      </c>
      <c r="P35" s="27">
        <f t="shared" ca="1" si="23"/>
        <v>0.24328293387014144</v>
      </c>
      <c r="Q35" s="27">
        <f t="shared" ca="1" si="24"/>
        <v>0.26112276498728593</v>
      </c>
      <c r="R35" s="47">
        <f>(N35+0.75)/2</f>
        <v>17.875</v>
      </c>
      <c r="S35" s="28">
        <f t="shared" ca="1" si="25"/>
        <v>13.207430575852264</v>
      </c>
      <c r="T35" s="38">
        <f t="shared" ca="1" si="26"/>
        <v>1984.5816105200381</v>
      </c>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1:60" ht="15" customHeight="1">
      <c r="A36" s="43" t="s">
        <v>12</v>
      </c>
      <c r="B36" s="207">
        <f t="shared" si="27"/>
        <v>788170</v>
      </c>
      <c r="C36" s="207">
        <f t="shared" si="27"/>
        <v>379770</v>
      </c>
      <c r="D36" s="63">
        <f t="shared" si="28"/>
        <v>0.48183767461334481</v>
      </c>
      <c r="E36" s="137">
        <f t="shared" ca="1" si="21"/>
        <v>33.506450726241425</v>
      </c>
      <c r="F36" s="170">
        <v>40</v>
      </c>
      <c r="G36" s="48">
        <f ca="1">IF(AND(D36&gt;0,D36&lt;1,D37&gt;0,D37&lt;1),'Model data'!J23+'Model data'!K23*E36 +'Model data'!L23*D36+'Model data'!M23*D37,NA())</f>
        <v>0.37716523521967726</v>
      </c>
      <c r="H36" s="48">
        <f>'Model data'!D36</f>
        <v>0.33555954367971813</v>
      </c>
      <c r="I36" s="138">
        <f ca="1">-0.5*LN(1+(G36/H36-1/'Model data'!$D$28)/(1-G36))</f>
        <v>6.485158517811572E-2</v>
      </c>
      <c r="J36" s="187">
        <f ca="1">1-(1+EXP(2*(I36+IF(Introduction!D$11="45q15",'Model data'!$C$24,'Model data'!$C$27))))/(1+EXP(2*(I36+'Model data'!$C$33)))</f>
        <v>0.25681680529381279</v>
      </c>
      <c r="K36" s="188" t="e">
        <f t="shared" ca="1" si="31"/>
        <v>#N/A</v>
      </c>
      <c r="L36" s="11"/>
      <c r="M36" s="43" t="s">
        <v>12</v>
      </c>
      <c r="N36" s="159">
        <f t="shared" si="30"/>
        <v>40</v>
      </c>
      <c r="O36" s="50">
        <f t="shared" si="22"/>
        <v>0.40664413976954128</v>
      </c>
      <c r="P36" s="50">
        <f t="shared" ca="1" si="23"/>
        <v>0.13744837916666472</v>
      </c>
      <c r="Q36" s="50">
        <f t="shared" ca="1" si="24"/>
        <v>0.36156334371356635</v>
      </c>
      <c r="R36" s="47">
        <f t="shared" ref="R36" si="32">(N36+0.75)/2</f>
        <v>20.375</v>
      </c>
      <c r="S36" s="47">
        <f t="shared" ca="1" si="25"/>
        <v>13.008146871836086</v>
      </c>
      <c r="T36" s="38">
        <f t="shared" ca="1" si="26"/>
        <v>1984.7808942240542</v>
      </c>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row r="37" spans="1:60" ht="15" customHeight="1">
      <c r="A37" s="44" t="s">
        <v>13</v>
      </c>
      <c r="B37" s="208">
        <f t="shared" si="27"/>
        <v>817460</v>
      </c>
      <c r="C37" s="208">
        <f t="shared" si="27"/>
        <v>280540</v>
      </c>
      <c r="D37" s="64">
        <f t="shared" si="28"/>
        <v>0.34318498764465538</v>
      </c>
      <c r="E37" s="64"/>
      <c r="F37" s="172"/>
      <c r="G37" s="30"/>
      <c r="H37" s="30"/>
      <c r="I37" s="30"/>
      <c r="J37" s="30"/>
      <c r="K37" s="30"/>
      <c r="L37" s="11"/>
      <c r="M37" s="62"/>
      <c r="N37" s="160"/>
      <c r="O37" s="161"/>
      <c r="P37" s="62"/>
      <c r="Q37" s="160"/>
      <c r="R37" s="162"/>
      <c r="S37" s="160"/>
      <c r="T37" s="16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row>
    <row r="38" spans="1:60" ht="15" customHeight="1">
      <c r="G38" s="13"/>
      <c r="H38" s="14"/>
      <c r="I38" s="66"/>
      <c r="J38" s="13"/>
      <c r="K38" s="65"/>
      <c r="L38" s="3"/>
      <c r="R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row>
    <row r="39" spans="1:60" ht="15" customHeight="1">
      <c r="A39" s="15" t="s">
        <v>32</v>
      </c>
      <c r="B39" s="3"/>
      <c r="C39" s="3"/>
      <c r="D39" s="3"/>
      <c r="E39" s="13"/>
      <c r="F39" s="13"/>
      <c r="G39" s="3"/>
      <c r="H39" s="3"/>
      <c r="I39" s="3"/>
      <c r="J39" s="3"/>
      <c r="K39" s="3"/>
      <c r="L39" s="3"/>
      <c r="M39" s="3"/>
      <c r="N39" s="3"/>
      <c r="O39" s="3"/>
      <c r="P39" s="3"/>
      <c r="Q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row>
    <row r="40" spans="1:60" ht="15.75" customHeight="1">
      <c r="B40" s="45" t="s">
        <v>81</v>
      </c>
      <c r="C40" s="54">
        <f>MBAR</f>
        <v>28.280746395250212</v>
      </c>
      <c r="E40" s="13"/>
      <c r="F40" s="13"/>
      <c r="G40" s="3"/>
      <c r="H40" s="3"/>
      <c r="I40" s="3"/>
      <c r="J40" s="3"/>
      <c r="K40" s="3"/>
      <c r="L40" s="3"/>
      <c r="M40" s="3"/>
      <c r="N40" s="3"/>
      <c r="O40" s="3"/>
      <c r="P40" s="3"/>
      <c r="Q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row>
    <row r="41" spans="1:60" ht="15.75" customHeight="1" thickBot="1">
      <c r="A41" s="3"/>
      <c r="B41" s="69" t="s">
        <v>39</v>
      </c>
      <c r="C41" s="54">
        <f ca="1">E62-G62</f>
        <v>5.225704330991217</v>
      </c>
      <c r="D41" s="70"/>
      <c r="E41" s="13"/>
      <c r="F41" s="13"/>
      <c r="G41" s="3"/>
      <c r="H41" s="3"/>
      <c r="I41" s="3"/>
      <c r="J41" s="3"/>
      <c r="K41" s="3"/>
      <c r="L41" s="3"/>
      <c r="M41" s="3"/>
      <c r="N41" s="3"/>
      <c r="O41" s="3"/>
      <c r="P41" s="3"/>
      <c r="Q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row>
    <row r="42" spans="1:60" ht="15.75" customHeight="1" thickBot="1">
      <c r="B42" s="45" t="s">
        <v>80</v>
      </c>
      <c r="C42" s="189">
        <f ca="1">C40+C41</f>
        <v>33.506450726241425</v>
      </c>
      <c r="E42" s="71"/>
      <c r="F42" s="71"/>
      <c r="G42" s="3"/>
      <c r="H42" s="3"/>
      <c r="I42" s="3"/>
      <c r="J42" s="3"/>
      <c r="K42" s="3"/>
      <c r="L42" s="3"/>
      <c r="M42" s="3"/>
      <c r="N42" s="3"/>
      <c r="O42" s="3"/>
      <c r="P42" s="3"/>
      <c r="Q42" s="3"/>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row>
    <row r="43" spans="1:60" ht="15" customHeight="1">
      <c r="E43" s="3"/>
      <c r="F43" s="3"/>
      <c r="G43" s="3"/>
      <c r="H43" s="3"/>
      <c r="I43" s="3"/>
      <c r="J43" s="3"/>
      <c r="K43" s="3"/>
      <c r="L43" s="3"/>
      <c r="M43" s="3"/>
      <c r="N43" s="3"/>
      <c r="O43" s="3"/>
      <c r="P43" s="3"/>
      <c r="Q43" s="3"/>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row>
    <row r="44" spans="1:60" ht="15" customHeight="1">
      <c r="A44" s="15" t="s">
        <v>123</v>
      </c>
      <c r="G44" s="3"/>
      <c r="H44" s="3"/>
      <c r="I44" s="3"/>
      <c r="J44" s="3"/>
      <c r="K44" s="3"/>
      <c r="L44" s="3"/>
      <c r="M44" s="3"/>
      <c r="N44" s="3"/>
      <c r="O44" s="3"/>
      <c r="P44" s="3"/>
      <c r="Q44" s="3"/>
      <c r="R44" s="7"/>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row>
    <row r="45" spans="1:60" ht="15" customHeight="1">
      <c r="A45" s="139"/>
      <c r="B45" s="139"/>
      <c r="C45" s="221" t="s">
        <v>77</v>
      </c>
      <c r="D45" s="221" t="s">
        <v>78</v>
      </c>
      <c r="E45" s="217" t="s">
        <v>124</v>
      </c>
      <c r="F45" s="165"/>
      <c r="G45" s="217" t="s">
        <v>125</v>
      </c>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row>
    <row r="46" spans="1:60" ht="15" customHeight="1">
      <c r="A46" s="219" t="s">
        <v>114</v>
      </c>
      <c r="B46" s="219"/>
      <c r="C46" s="222"/>
      <c r="D46" s="213"/>
      <c r="E46" s="218"/>
      <c r="F46" s="166"/>
      <c r="G46" s="218"/>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row>
    <row r="47" spans="1:60" ht="15" customHeight="1">
      <c r="A47" s="140">
        <v>10</v>
      </c>
      <c r="B47" s="141">
        <v>14</v>
      </c>
      <c r="C47" s="179">
        <v>1380</v>
      </c>
      <c r="D47" s="179">
        <v>7300</v>
      </c>
      <c r="E47" s="142">
        <f>SUM(C$47:C47)/C$62</f>
        <v>4.7367824890075754E-4</v>
      </c>
      <c r="F47" s="142"/>
      <c r="G47" s="142">
        <f>SUM(D$47:D47)/D$62</f>
        <v>2.3813484956727964E-3</v>
      </c>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row>
    <row r="48" spans="1:60" ht="15" customHeight="1">
      <c r="A48" s="140">
        <v>15</v>
      </c>
      <c r="B48" s="141">
        <v>19</v>
      </c>
      <c r="C48" s="179">
        <v>34140</v>
      </c>
      <c r="D48" s="179">
        <v>171320</v>
      </c>
      <c r="E48" s="142">
        <f>SUM(C$47:C48)/C$62</f>
        <v>1.2192066232576021E-2</v>
      </c>
      <c r="F48" s="142"/>
      <c r="G48" s="142">
        <f>SUM(D$47:D48)/D$62</f>
        <v>5.8268009355763678E-2</v>
      </c>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row>
    <row r="49" spans="1:59" ht="15" customHeight="1">
      <c r="A49" s="140">
        <v>20</v>
      </c>
      <c r="B49" s="141">
        <v>24</v>
      </c>
      <c r="C49" s="179">
        <v>192160</v>
      </c>
      <c r="D49" s="179">
        <v>429420</v>
      </c>
      <c r="E49" s="142">
        <f>SUM(C$47:C49)/C$62</f>
        <v>7.8150046166467008E-2</v>
      </c>
      <c r="F49" s="142"/>
      <c r="G49" s="142">
        <f>SUM(D$47:D49)/D$62</f>
        <v>0.19835001908340918</v>
      </c>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row>
    <row r="50" spans="1:59" ht="15" customHeight="1">
      <c r="A50" s="140">
        <v>25</v>
      </c>
      <c r="B50" s="141">
        <v>29</v>
      </c>
      <c r="C50" s="179">
        <v>471780</v>
      </c>
      <c r="D50" s="179">
        <v>550700</v>
      </c>
      <c r="E50" s="142">
        <f>SUM(C$47:C50)/C$62</f>
        <v>0.24008622317110426</v>
      </c>
      <c r="F50" s="142"/>
      <c r="G50" s="142">
        <f>SUM(D$47:D50)/D$62</f>
        <v>0.37799503505149257</v>
      </c>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row>
    <row r="51" spans="1:59" ht="15" customHeight="1">
      <c r="A51" s="140">
        <v>30</v>
      </c>
      <c r="B51" s="141">
        <v>34</v>
      </c>
      <c r="C51" s="179">
        <v>496440</v>
      </c>
      <c r="D51" s="179">
        <v>488090</v>
      </c>
      <c r="E51" s="142">
        <f>SUM(C$47:C51)/C$62</f>
        <v>0.41048682453653329</v>
      </c>
      <c r="F51" s="142"/>
      <c r="G51" s="142">
        <f>SUM(D$47:D51)/D$62</f>
        <v>0.53721591001764812</v>
      </c>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row>
    <row r="52" spans="1:59" ht="15" customHeight="1">
      <c r="A52" s="140">
        <v>35</v>
      </c>
      <c r="B52" s="141">
        <v>39</v>
      </c>
      <c r="C52" s="179">
        <v>321400</v>
      </c>
      <c r="D52" s="179">
        <v>345680</v>
      </c>
      <c r="E52" s="142">
        <f>SUM(C$47:C52)/C$62</f>
        <v>0.52080580221530393</v>
      </c>
      <c r="F52" s="142"/>
      <c r="G52" s="142">
        <f>SUM(D$47:D52)/D$62</f>
        <v>0.64998091659082236</v>
      </c>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row>
    <row r="53" spans="1:59" ht="15" customHeight="1">
      <c r="A53" s="140">
        <v>40</v>
      </c>
      <c r="B53" s="141">
        <v>44</v>
      </c>
      <c r="C53" s="179">
        <v>375650</v>
      </c>
      <c r="D53" s="179">
        <v>336270</v>
      </c>
      <c r="E53" s="142">
        <f>SUM(C$47:C53)/C$62</f>
        <v>0.64974582699760075</v>
      </c>
      <c r="F53" s="142"/>
      <c r="G53" s="142">
        <f>SUM(D$47:D53)/D$62</f>
        <v>0.75967626708943758</v>
      </c>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row>
    <row r="54" spans="1:59" ht="15" customHeight="1">
      <c r="A54" s="140">
        <v>45</v>
      </c>
      <c r="B54" s="141">
        <v>49</v>
      </c>
      <c r="C54" s="179">
        <v>279350</v>
      </c>
      <c r="D54" s="179">
        <v>245010</v>
      </c>
      <c r="E54" s="142">
        <f>SUM(C$47:C54)/C$62</f>
        <v>0.74563134788921426</v>
      </c>
      <c r="F54" s="142"/>
      <c r="G54" s="142">
        <f>SUM(D$47:D54)/D$62</f>
        <v>0.83960149927091587</v>
      </c>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row>
    <row r="55" spans="1:59" ht="15" customHeight="1">
      <c r="A55" s="140">
        <v>50</v>
      </c>
      <c r="B55" s="141">
        <v>54</v>
      </c>
      <c r="C55" s="179">
        <v>224610</v>
      </c>
      <c r="D55" s="179">
        <v>164470</v>
      </c>
      <c r="E55" s="142">
        <f>SUM(C$47:C55)/C$62</f>
        <v>0.82272763157443096</v>
      </c>
      <c r="F55" s="142"/>
      <c r="G55" s="142">
        <f>SUM(D$47:D55)/D$62</f>
        <v>0.89325360709054669</v>
      </c>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row>
    <row r="56" spans="1:59" ht="15" customHeight="1">
      <c r="A56" s="140">
        <v>55</v>
      </c>
      <c r="B56" s="141">
        <v>59</v>
      </c>
      <c r="C56" s="179">
        <v>166800</v>
      </c>
      <c r="D56" s="179">
        <v>115380</v>
      </c>
      <c r="E56" s="142">
        <f>SUM(C$47:C56)/C$62</f>
        <v>0.87998091557200075</v>
      </c>
      <c r="F56" s="142"/>
      <c r="G56" s="142">
        <f>SUM(D$47:D56)/D$62</f>
        <v>0.93089196180708467</v>
      </c>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row>
    <row r="57" spans="1:59" ht="15" customHeight="1">
      <c r="A57" s="140">
        <v>60</v>
      </c>
      <c r="B57" s="141">
        <v>64</v>
      </c>
      <c r="C57" s="179">
        <v>105760</v>
      </c>
      <c r="D57" s="179">
        <v>75470</v>
      </c>
      <c r="E57" s="142">
        <f>SUM(C$47:C57)/C$62</f>
        <v>0.91628251818340956</v>
      </c>
      <c r="F57" s="142"/>
      <c r="G57" s="142">
        <f>SUM(D$47:D57)/D$62</f>
        <v>0.95551119070686907</v>
      </c>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row>
    <row r="58" spans="1:59" ht="15" customHeight="1">
      <c r="A58" s="140">
        <v>65</v>
      </c>
      <c r="B58" s="141">
        <v>69</v>
      </c>
      <c r="C58" s="179">
        <v>99360</v>
      </c>
      <c r="D58" s="179">
        <v>63890</v>
      </c>
      <c r="E58" s="142">
        <f>SUM(C$47:C58)/C$62</f>
        <v>0.95038735210426417</v>
      </c>
      <c r="F58" s="142"/>
      <c r="G58" s="142">
        <f>SUM(D$47:D58)/D$62</f>
        <v>0.97635288322584646</v>
      </c>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row>
    <row r="59" spans="1:59" ht="15" customHeight="1">
      <c r="A59" s="140">
        <v>70</v>
      </c>
      <c r="B59" s="141">
        <v>74</v>
      </c>
      <c r="C59" s="179">
        <v>59000</v>
      </c>
      <c r="D59" s="179">
        <v>37220</v>
      </c>
      <c r="E59" s="142">
        <f>SUM(C$47:C59)/C$62</f>
        <v>0.970638813470311</v>
      </c>
      <c r="F59" s="142"/>
      <c r="G59" s="142">
        <f>SUM(D$47:D59)/D$62</f>
        <v>0.98849449843255077</v>
      </c>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row>
    <row r="60" spans="1:59" ht="15" customHeight="1">
      <c r="A60" s="140">
        <v>75</v>
      </c>
      <c r="B60" s="141">
        <v>79</v>
      </c>
      <c r="C60" s="179">
        <v>41110</v>
      </c>
      <c r="D60" s="179">
        <v>19700</v>
      </c>
      <c r="E60" s="142">
        <f>SUM(C$47:C60)/C$62</f>
        <v>0.98474961985604303</v>
      </c>
      <c r="F60" s="142"/>
      <c r="G60" s="142">
        <f>SUM(D$47:D60)/D$62</f>
        <v>0.9949208772496404</v>
      </c>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row>
    <row r="61" spans="1:59" ht="15" customHeight="1">
      <c r="A61" s="140">
        <v>80</v>
      </c>
      <c r="B61" s="153" t="s">
        <v>121</v>
      </c>
      <c r="C61" s="179">
        <v>44430</v>
      </c>
      <c r="D61" s="179">
        <v>15570</v>
      </c>
      <c r="E61" s="142">
        <f>SUM(C$47:C61)/C$62</f>
        <v>1</v>
      </c>
      <c r="F61" s="142"/>
      <c r="G61" s="142">
        <f>SUM(D$47:D61)/D$62</f>
        <v>1</v>
      </c>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row>
    <row r="62" spans="1:59" ht="15" customHeight="1">
      <c r="A62" s="220" t="s">
        <v>1</v>
      </c>
      <c r="B62" s="220"/>
      <c r="C62" s="143">
        <f>SUM(C47:C61)</f>
        <v>2913370</v>
      </c>
      <c r="D62" s="143">
        <f>SUM(D47:D61)</f>
        <v>3065490</v>
      </c>
      <c r="E62" s="144">
        <f ca="1">INDEX($A$47:$A$61,MATCH(0.5,E$47:E$61,1),1)+2.5+5*(0.5-OFFSET(E$47,MATCH(0.5,E$47:E$61,1)-1,0))/(OFFSET(E$47,MATCH(0.5,E$47:E$61,1),0)-OFFSET(E$47,MATCH(0.5,E$47:E$61,1)-1,0))</f>
        <v>36.557016179215928</v>
      </c>
      <c r="F62" s="144"/>
      <c r="G62" s="144">
        <f ca="1">INDEX($A$47:$A$61,MATCH(0.5,G$47:G$61,1),1)+2.5+5*(0.5-OFFSET(G$47,MATCH(0.5,G$47:G$61,1)-1,0))/(OFFSET(G$47,MATCH(0.5,G$47:G$61,1),0)-OFFSET(G$47,MATCH(0.5,G$47:G$61,1)-1,0))</f>
        <v>31.331311848224711</v>
      </c>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row>
    <row r="63" spans="1:59" ht="15" customHeight="1">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row>
    <row r="64" spans="1:59" ht="15" customHeight="1">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row>
    <row r="65" spans="1:59" ht="15" customHeight="1">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row>
    <row r="66" spans="1:59" ht="15" customHeight="1">
      <c r="A66" s="7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row>
    <row r="67" spans="1:59" ht="15" customHeight="1">
      <c r="A67" s="3"/>
      <c r="B67" s="3"/>
      <c r="C67" s="3"/>
      <c r="D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row>
    <row r="68" spans="1:59" ht="15" customHeight="1">
      <c r="A68" s="3"/>
      <c r="B68" s="3"/>
      <c r="C68" s="3"/>
      <c r="D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row>
    <row r="69" spans="1:59" ht="15" customHeight="1">
      <c r="A69" s="3"/>
      <c r="B69" s="3"/>
      <c r="C69" s="3"/>
      <c r="D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row>
    <row r="70" spans="1:59" ht="15" customHeight="1">
      <c r="A70" s="3"/>
      <c r="B70" s="3"/>
      <c r="C70" s="3"/>
      <c r="D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row>
    <row r="71" spans="1:59" ht="15" customHeight="1">
      <c r="A71" s="3"/>
      <c r="B71" s="3"/>
      <c r="C71" s="3"/>
      <c r="D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row>
    <row r="72" spans="1:59" ht="15" customHeight="1">
      <c r="A72" s="3"/>
      <c r="B72" s="3"/>
      <c r="C72" s="3"/>
      <c r="D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row>
    <row r="73" spans="1:59" ht="15" customHeight="1">
      <c r="A73" s="3"/>
      <c r="B73" s="3"/>
      <c r="C73" s="3"/>
      <c r="D73" s="3"/>
      <c r="G73" s="3"/>
      <c r="H73" s="3"/>
      <c r="I73" s="3"/>
      <c r="J73" s="74"/>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row>
    <row r="74" spans="1:59" ht="15" customHeight="1">
      <c r="A74" s="3"/>
      <c r="B74" s="3"/>
      <c r="C74" s="3"/>
      <c r="D74" s="3"/>
      <c r="G74" s="3"/>
      <c r="H74" s="4"/>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row>
    <row r="75" spans="1:59">
      <c r="A75" s="3"/>
      <c r="B75" s="3"/>
      <c r="C75" s="3"/>
      <c r="D75" s="3"/>
      <c r="E75" s="3"/>
      <c r="F75" s="3"/>
      <c r="G75" s="73"/>
      <c r="H75" s="73"/>
      <c r="I75" s="73"/>
      <c r="J75" s="3"/>
      <c r="K75" s="74"/>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row>
    <row r="76" spans="1:59">
      <c r="A76" s="3"/>
      <c r="B76" s="3"/>
      <c r="C76" s="3"/>
      <c r="D76" s="3"/>
      <c r="E76" s="3"/>
      <c r="F76" s="3"/>
      <c r="G76" s="73"/>
      <c r="H76" s="73"/>
      <c r="I76" s="7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row>
    <row r="77" spans="1:59">
      <c r="A77" s="3"/>
      <c r="B77" s="3"/>
      <c r="C77" s="3"/>
      <c r="D77" s="3"/>
      <c r="E77" s="73"/>
      <c r="F77" s="73"/>
      <c r="G77" s="73"/>
      <c r="H77" s="73"/>
      <c r="I77" s="7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row>
    <row r="78" spans="1:59">
      <c r="A78" s="3"/>
      <c r="B78" s="3"/>
      <c r="C78" s="3"/>
      <c r="D78" s="3"/>
      <c r="E78" s="73"/>
      <c r="F78" s="73"/>
      <c r="G78" s="73"/>
      <c r="H78" s="73"/>
      <c r="I78" s="7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row>
    <row r="79" spans="1:59">
      <c r="A79" s="3"/>
      <c r="B79" s="3"/>
      <c r="C79" s="3"/>
      <c r="D79" s="3"/>
      <c r="E79" s="73"/>
      <c r="F79" s="73"/>
      <c r="G79" s="73"/>
      <c r="H79" s="73"/>
      <c r="I79" s="7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row>
    <row r="80" spans="1:59">
      <c r="A80" s="3"/>
      <c r="B80" s="3"/>
      <c r="C80" s="3"/>
      <c r="D80" s="3"/>
      <c r="E80" s="73"/>
      <c r="F80" s="7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row>
    <row r="81" spans="1:59">
      <c r="A81" s="3"/>
      <c r="B81" s="3"/>
      <c r="C81" s="3"/>
      <c r="D81" s="3"/>
      <c r="E81" s="73"/>
      <c r="F81" s="7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row>
    <row r="82" spans="1:59">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row>
    <row r="83" spans="1:5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row>
    <row r="84" spans="1:59">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row>
    <row r="85" spans="1:59">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row>
    <row r="86" spans="1:59">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row>
    <row r="87" spans="1:59">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row>
    <row r="88" spans="1:59">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row>
    <row r="89" spans="1:59">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row>
    <row r="90" spans="1:59">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row>
    <row r="91" spans="1:59">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row>
    <row r="92" spans="1:59">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row>
    <row r="93" spans="1:59">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row>
    <row r="94" spans="1:59">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row>
    <row r="95" spans="1:59">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row>
    <row r="96" spans="1:59">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row>
    <row r="97" spans="1:59">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row>
    <row r="98" spans="1:59">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row>
    <row r="99" spans="1:59">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row>
    <row r="100" spans="1:59">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row>
    <row r="101" spans="1:59">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row>
    <row r="102" spans="1:59">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row>
    <row r="103" spans="1:59">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row>
    <row r="104" spans="1:59">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row>
    <row r="105" spans="1:59">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row>
    <row r="106" spans="1:59">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row>
    <row r="107" spans="1:59">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row>
    <row r="108" spans="1:59">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row>
    <row r="109" spans="1:5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row>
    <row r="110" spans="1:59">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row>
    <row r="111" spans="1:59">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row>
    <row r="112" spans="1:59">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row>
    <row r="113" spans="1:59">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row>
    <row r="114" spans="1:59">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row>
    <row r="115" spans="1:59">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row>
    <row r="116" spans="1:59">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row>
    <row r="117" spans="1:59">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row>
    <row r="118" spans="1:59">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row>
    <row r="119" spans="1:5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row>
    <row r="120" spans="1:59">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row>
    <row r="121" spans="1:59">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row>
    <row r="122" spans="1:59">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row>
    <row r="123" spans="1:59">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row>
    <row r="124" spans="1:59">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row>
    <row r="125" spans="1:59">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row>
    <row r="126" spans="1:59">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row>
    <row r="127" spans="1:59">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row>
    <row r="128" spans="1:59">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row>
    <row r="129" spans="5:59">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row>
    <row r="130" spans="5:59">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row>
    <row r="131" spans="5:59">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row>
    <row r="132" spans="5:59">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row>
    <row r="133" spans="5:59">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row>
    <row r="134" spans="5:59">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row>
    <row r="135" spans="5:59">
      <c r="E135" s="3"/>
      <c r="F135" s="3"/>
      <c r="G135" s="3"/>
      <c r="H135" s="3"/>
      <c r="I135" s="3"/>
      <c r="J135" s="3"/>
      <c r="K135" s="3"/>
      <c r="L135" s="3"/>
      <c r="M135" s="3"/>
      <c r="N135" s="3"/>
      <c r="O135" s="3"/>
      <c r="P135" s="3"/>
      <c r="Q135" s="3"/>
      <c r="R135" s="3"/>
      <c r="S135" s="3"/>
      <c r="T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row>
    <row r="136" spans="5:59">
      <c r="E136" s="3"/>
      <c r="F136" s="3"/>
      <c r="G136" s="3"/>
      <c r="H136" s="3"/>
      <c r="I136" s="3"/>
      <c r="J136" s="3"/>
      <c r="K136" s="3"/>
      <c r="L136" s="3"/>
      <c r="M136" s="3"/>
      <c r="N136" s="3"/>
      <c r="O136" s="3"/>
      <c r="P136" s="3"/>
      <c r="Q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row>
    <row r="137" spans="5:59">
      <c r="E137" s="3"/>
      <c r="F137" s="3"/>
      <c r="K137" s="3"/>
      <c r="L137" s="3"/>
      <c r="M137" s="3"/>
      <c r="N137" s="3"/>
      <c r="O137" s="3"/>
      <c r="P137" s="3"/>
      <c r="Q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row>
    <row r="138" spans="5:59">
      <c r="E138" s="3"/>
      <c r="F138" s="3"/>
      <c r="K138" s="3"/>
      <c r="L138" s="3"/>
      <c r="M138" s="3"/>
      <c r="N138" s="3"/>
      <c r="O138" s="3"/>
      <c r="P138" s="3"/>
      <c r="Q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row>
    <row r="139" spans="5:59">
      <c r="L139" s="3"/>
      <c r="M139" s="3"/>
      <c r="N139" s="3"/>
      <c r="O139" s="3"/>
    </row>
  </sheetData>
  <sheetProtection sheet="1" objects="1" scenarios="1"/>
  <mergeCells count="9">
    <mergeCell ref="E3:E5"/>
    <mergeCell ref="G45:G46"/>
    <mergeCell ref="A46:B46"/>
    <mergeCell ref="A62:B62"/>
    <mergeCell ref="C45:C46"/>
    <mergeCell ref="D45:D46"/>
    <mergeCell ref="E45:E46"/>
    <mergeCell ref="E15:E17"/>
    <mergeCell ref="E27:E29"/>
  </mergeCells>
  <dataValidations count="2">
    <dataValidation type="decimal" operator="greaterThanOrEqual" allowBlank="1" showInputMessage="1" showErrorMessage="1" sqref="C47:D61 B30:C37">
      <formula1>0</formula1>
    </dataValidation>
    <dataValidation type="decimal" operator="greaterThanOrEqual" allowBlank="1" showInputMessage="1" showErrorMessage="1" error="Enter a number &gt;=0" sqref="B6:C13 B18:C25">
      <formula1>0</formula1>
    </dataValidation>
  </dataValidations>
  <pageMargins left="0.51181102362204722" right="0.51181102362204722" top="0.74803149606299213" bottom="0.74803149606299213" header="0.31496062992125984" footer="0.31496062992125984"/>
  <pageSetup paperSize="9" scale="80" orientation="portrait" r:id="rId1"/>
  <headerFooter>
    <oddHeader>&amp;L&amp;"+,Bold"&amp;14Tools for Demographic Estimation&amp;R&amp;"+,Bold"&amp;14Orphanhood</oddHeader>
    <oddFooter>&amp;L&amp;"+,Regular"&amp;F&amp;R&amp;"+,Regular"&amp;D  &amp;T</oddFooter>
  </headerFooter>
  <rowBreaks count="1" manualBreakCount="1">
    <brk id="62" max="16383" man="1"/>
  </rowBreaks>
  <colBreaks count="1" manualBreakCount="1">
    <brk id="11" max="1048575" man="1"/>
  </colBreaks>
  <ignoredErrors>
    <ignoredError sqref="B30:C37"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J10"/>
  <sheetViews>
    <sheetView showGridLines="0" showRowColHeaders="0" zoomScaleNormal="100" workbookViewId="0">
      <selection activeCell="B2" sqref="B2"/>
    </sheetView>
  </sheetViews>
  <sheetFormatPr defaultRowHeight="15"/>
  <sheetData>
    <row r="10" spans="10:10">
      <c r="J10" s="12"/>
    </row>
  </sheetData>
  <sheetProtection sheet="1" objects="1" scenarios="1" selectLockedCells="1" selectUnlockedCells="1"/>
  <pageMargins left="0.70866141732283472" right="0.70866141732283472" top="0.74803149606299213" bottom="0.74803149606299213" header="0.31496062992125984" footer="0.31496062992125984"/>
  <pageSetup paperSize="9" scale="59" orientation="portrait" r:id="rId1"/>
  <headerFooter>
    <oddHeader>&amp;L&amp;"+,Bold"&amp;14Tools for Demographic Estimation&amp;R&amp;"+,Bold"&amp;14Orphanhood</oddHeader>
    <oddFooter>&amp;L&amp;"+,Regular"&amp;F&amp;R&amp;"+,Regular"&amp;D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Introduction</vt:lpstr>
      <vt:lpstr>Model data</vt:lpstr>
      <vt:lpstr>Maternal orphanhood</vt:lpstr>
      <vt:lpstr>Paternal orphanhood</vt:lpstr>
      <vt:lpstr>Charts</vt:lpstr>
      <vt:lpstr>Date_of_survey</vt:lpstr>
      <vt:lpstr>MBAR</vt:lpstr>
      <vt:lpstr>MBAR_m</vt:lpstr>
      <vt:lpstr>Model_LTs</vt:lpstr>
      <vt:lpstr>Introduction!Print_Area</vt:lpstr>
      <vt:lpstr>'Maternal orphanhood'!Print_Area_MI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Orphanhood Teaching Sheet</dc:title>
  <dc:creator>Ian Timaeus</dc:creator>
  <cp:lastModifiedBy>01404747</cp:lastModifiedBy>
  <cp:lastPrinted>2011-11-30T15:05:32Z</cp:lastPrinted>
  <dcterms:created xsi:type="dcterms:W3CDTF">2002-05-14T18:44:24Z</dcterms:created>
  <dcterms:modified xsi:type="dcterms:W3CDTF">2018-10-17T10:42:08Z</dcterms:modified>
</cp:coreProperties>
</file>