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OM_DRIVE\OneDrive - University of Cape Town\Academic\UNFPA\Manual XI\FINAL - DECEMBER2012\Adult mortality\Orphanhood1\"/>
    </mc:Choice>
  </mc:AlternateContent>
  <bookViews>
    <workbookView xWindow="-15" yWindow="-15" windowWidth="8520" windowHeight="8745"/>
  </bookViews>
  <sheets>
    <sheet name="Introduction" sheetId="4" r:id="rId1"/>
    <sheet name="Model data" sheetId="7" r:id="rId2"/>
    <sheet name="Maternal orphanhood" sheetId="1" r:id="rId3"/>
    <sheet name="Paternal orphanhood" sheetId="3" r:id="rId4"/>
    <sheet name="Charts" sheetId="5" r:id="rId5"/>
  </sheets>
  <externalReferences>
    <externalReference r:id="rId6"/>
  </externalReferences>
  <definedNames>
    <definedName name="_Regression_Int" localSheetId="2" hidden="1">1</definedName>
    <definedName name="Date_of_survey" localSheetId="1">'[1]Maternal orphanhood'!$S$1</definedName>
    <definedName name="Date_of_survey">'Maternal orphanhood'!$T$1</definedName>
    <definedName name="MBAR" localSheetId="1">'[1]Maternal orphanhood'!$D$57</definedName>
    <definedName name="MBAR">'Maternal orphanhood'!$D$43</definedName>
    <definedName name="MBAR_m" localSheetId="1">'[1]Paternal orphanhood'!$C$43</definedName>
    <definedName name="MBAR_m">'Paternal orphanhood'!$C$31</definedName>
    <definedName name="_xlnm.Print_Area" localSheetId="0">Introduction!$B$2:$D$22</definedName>
    <definedName name="Print_Area_MI" localSheetId="2">'Maternal orphanhood'!$A$1:$K$45</definedName>
  </definedNames>
  <calcPr calcId="152511"/>
</workbook>
</file>

<file path=xl/calcChain.xml><?xml version="1.0" encoding="utf-8"?>
<calcChain xmlns="http://schemas.openxmlformats.org/spreadsheetml/2006/main">
  <c r="B25" i="7" l="1"/>
  <c r="B26" i="7"/>
  <c r="B27" i="7"/>
  <c r="B28" i="7"/>
  <c r="B29" i="7"/>
  <c r="B30" i="7"/>
  <c r="B31" i="7"/>
  <c r="B32" i="7"/>
  <c r="B33" i="7"/>
  <c r="B34" i="7"/>
  <c r="B35" i="7"/>
  <c r="B36" i="7"/>
  <c r="B37" i="7"/>
  <c r="B38" i="7"/>
  <c r="B24" i="7"/>
  <c r="G25" i="7"/>
  <c r="H25" i="7"/>
  <c r="G26" i="7"/>
  <c r="H26" i="7"/>
  <c r="G27" i="7"/>
  <c r="H27" i="7"/>
  <c r="G28" i="7"/>
  <c r="H28" i="7"/>
  <c r="H19" i="1" s="1"/>
  <c r="G29" i="7"/>
  <c r="H29" i="7"/>
  <c r="H20" i="1" s="1"/>
  <c r="G30" i="7"/>
  <c r="H30" i="7"/>
  <c r="H21" i="1" s="1"/>
  <c r="G31" i="7"/>
  <c r="H19" i="3" s="1"/>
  <c r="H31" i="7"/>
  <c r="H22" i="1" s="1"/>
  <c r="G32" i="7"/>
  <c r="H20" i="3" s="1"/>
  <c r="H32" i="7"/>
  <c r="H23" i="1" s="1"/>
  <c r="G33" i="7"/>
  <c r="H21" i="3" s="1"/>
  <c r="H33" i="7"/>
  <c r="H24" i="1" s="1"/>
  <c r="G34" i="7"/>
  <c r="H22" i="3" s="1"/>
  <c r="H34" i="7"/>
  <c r="H25" i="1" s="1"/>
  <c r="G35" i="7"/>
  <c r="H23" i="3" s="1"/>
  <c r="H35" i="7"/>
  <c r="H26" i="1" s="1"/>
  <c r="G36" i="7"/>
  <c r="H24" i="3" s="1"/>
  <c r="H36" i="7"/>
  <c r="H27" i="1" s="1"/>
  <c r="G37" i="7"/>
  <c r="H37" i="7"/>
  <c r="G38" i="7"/>
  <c r="H38" i="7"/>
  <c r="H24" i="7"/>
  <c r="G24" i="7"/>
  <c r="H18" i="3" l="1"/>
  <c r="D14" i="4"/>
  <c r="N19" i="3" l="1"/>
  <c r="N20" i="3" s="1"/>
  <c r="R18" i="3"/>
  <c r="N19" i="1"/>
  <c r="N20" i="1" s="1"/>
  <c r="N21" i="3" l="1"/>
  <c r="R20" i="3"/>
  <c r="R19" i="3"/>
  <c r="R20" i="1"/>
  <c r="N21" i="1"/>
  <c r="R19" i="1"/>
  <c r="R21" i="3" l="1"/>
  <c r="N22" i="3"/>
  <c r="N22" i="1"/>
  <c r="R21" i="1"/>
  <c r="N23" i="3" l="1"/>
  <c r="R22" i="3"/>
  <c r="R22" i="1"/>
  <c r="N23" i="1"/>
  <c r="J17" i="3"/>
  <c r="N24" i="3" l="1"/>
  <c r="R24" i="3" s="1"/>
  <c r="R23" i="3"/>
  <c r="N24" i="1"/>
  <c r="R23" i="1"/>
  <c r="J18" i="1"/>
  <c r="C26" i="7"/>
  <c r="D26" i="7" s="1"/>
  <c r="C27" i="7"/>
  <c r="D27" i="7" s="1"/>
  <c r="C29" i="7"/>
  <c r="D29" i="7" s="1"/>
  <c r="H7" i="1" s="1"/>
  <c r="C35" i="7"/>
  <c r="D35" i="7" s="1"/>
  <c r="C37" i="7"/>
  <c r="D37" i="7" s="1"/>
  <c r="C38" i="7"/>
  <c r="D38" i="7" s="1"/>
  <c r="C25" i="7"/>
  <c r="D25" i="7" s="1"/>
  <c r="C24" i="7"/>
  <c r="D24" i="7" s="1"/>
  <c r="B21" i="7"/>
  <c r="G1" i="3"/>
  <c r="G39" i="3"/>
  <c r="G41" i="3"/>
  <c r="G43" i="3"/>
  <c r="G45" i="3"/>
  <c r="G47" i="3"/>
  <c r="G49" i="3"/>
  <c r="G51" i="3"/>
  <c r="D52" i="3"/>
  <c r="G38" i="3" s="1"/>
  <c r="C52" i="3"/>
  <c r="E37" i="3" s="1"/>
  <c r="A25" i="7"/>
  <c r="A26" i="7" s="1"/>
  <c r="A27" i="7" s="1"/>
  <c r="A28" i="7" s="1"/>
  <c r="A29" i="7" s="1"/>
  <c r="A30" i="7" s="1"/>
  <c r="A31" i="7" s="1"/>
  <c r="A32" i="7" s="1"/>
  <c r="A33" i="7" s="1"/>
  <c r="A34" i="7" s="1"/>
  <c r="A35" i="7" s="1"/>
  <c r="A36" i="7" s="1"/>
  <c r="A37" i="7" s="1"/>
  <c r="A38" i="7" s="1"/>
  <c r="G37" i="3" l="1"/>
  <c r="E50" i="3"/>
  <c r="E48" i="3"/>
  <c r="E46" i="3"/>
  <c r="E44" i="3"/>
  <c r="E42" i="3"/>
  <c r="E40" i="3"/>
  <c r="E38" i="3"/>
  <c r="E47" i="3"/>
  <c r="E51" i="3"/>
  <c r="E49" i="3"/>
  <c r="E45" i="3"/>
  <c r="E43" i="3"/>
  <c r="E41" i="3"/>
  <c r="E39" i="3"/>
  <c r="G50" i="3"/>
  <c r="G48" i="3"/>
  <c r="G46" i="3"/>
  <c r="G44" i="3"/>
  <c r="G52" i="3" s="1"/>
  <c r="G42" i="3"/>
  <c r="G40" i="3"/>
  <c r="H11" i="3"/>
  <c r="H13" i="1"/>
  <c r="R24" i="1"/>
  <c r="N25" i="1"/>
  <c r="C36" i="7"/>
  <c r="D36" i="7" s="1"/>
  <c r="C28" i="7"/>
  <c r="D28" i="7" s="1"/>
  <c r="H6" i="1" s="1"/>
  <c r="C34" i="7"/>
  <c r="D34" i="7" s="1"/>
  <c r="C30" i="7"/>
  <c r="D30" i="7" s="1"/>
  <c r="H8" i="1" s="1"/>
  <c r="C31" i="7"/>
  <c r="D31" i="7" s="1"/>
  <c r="C32" i="7"/>
  <c r="D32" i="7" s="1"/>
  <c r="C33" i="7"/>
  <c r="D33" i="7" s="1"/>
  <c r="C34" i="1"/>
  <c r="C35" i="1" s="1"/>
  <c r="C36" i="1" s="1"/>
  <c r="C37" i="1" s="1"/>
  <c r="C38" i="1" s="1"/>
  <c r="C39" i="1" s="1"/>
  <c r="C40" i="1" s="1"/>
  <c r="E52" i="3" l="1"/>
  <c r="C30" i="3" s="1"/>
  <c r="H7" i="3"/>
  <c r="H9" i="1"/>
  <c r="H12" i="3"/>
  <c r="H14" i="1"/>
  <c r="H8" i="3"/>
  <c r="H10" i="1"/>
  <c r="H9" i="3"/>
  <c r="H11" i="1"/>
  <c r="H10" i="3"/>
  <c r="H12" i="1"/>
  <c r="H6" i="3"/>
  <c r="R25" i="1"/>
  <c r="N26" i="1"/>
  <c r="K1" i="3"/>
  <c r="J5" i="3"/>
  <c r="J5" i="1"/>
  <c r="G1" i="1"/>
  <c r="N27" i="1" l="1"/>
  <c r="R26" i="1"/>
  <c r="K1" i="1"/>
  <c r="T1" i="1" s="1"/>
  <c r="R27" i="1" l="1"/>
  <c r="T1" i="3" l="1"/>
  <c r="D6" i="3" l="1"/>
  <c r="B18" i="3" s="1"/>
  <c r="D18" i="3" s="1"/>
  <c r="R6" i="3"/>
  <c r="D7" i="3"/>
  <c r="B19" i="3" s="1"/>
  <c r="D19" i="3" s="1"/>
  <c r="O19" i="3" s="1"/>
  <c r="D8" i="3"/>
  <c r="B20" i="3" s="1"/>
  <c r="D20" i="3" s="1"/>
  <c r="O20" i="3" s="1"/>
  <c r="D9" i="3"/>
  <c r="B21" i="3" s="1"/>
  <c r="D21" i="3" s="1"/>
  <c r="D10" i="3"/>
  <c r="B22" i="3" s="1"/>
  <c r="D22" i="3" s="1"/>
  <c r="D11" i="3"/>
  <c r="B23" i="3" s="1"/>
  <c r="D23" i="3" s="1"/>
  <c r="D12" i="3"/>
  <c r="B24" i="3" s="1"/>
  <c r="D24" i="3" s="1"/>
  <c r="O24" i="3" s="1"/>
  <c r="D13" i="3"/>
  <c r="B25" i="3" s="1"/>
  <c r="D25" i="3" s="1"/>
  <c r="N7" i="3"/>
  <c r="R7" i="3" s="1"/>
  <c r="O23" i="3" l="1"/>
  <c r="O22" i="3"/>
  <c r="O21" i="3"/>
  <c r="O18" i="3"/>
  <c r="O11" i="3"/>
  <c r="O10" i="3"/>
  <c r="O6" i="3"/>
  <c r="O12" i="3"/>
  <c r="O8" i="3"/>
  <c r="O9" i="3"/>
  <c r="O7" i="3"/>
  <c r="N8" i="3"/>
  <c r="R8" i="3" s="1"/>
  <c r="N6" i="1"/>
  <c r="N7" i="1" s="1"/>
  <c r="B41" i="1"/>
  <c r="D35" i="1"/>
  <c r="D36" i="1"/>
  <c r="D37" i="1"/>
  <c r="D38" i="1"/>
  <c r="D39" i="1"/>
  <c r="D40" i="1"/>
  <c r="D34" i="1"/>
  <c r="N9" i="3" l="1"/>
  <c r="R9" i="3" s="1"/>
  <c r="D41" i="1"/>
  <c r="D43" i="1" s="1"/>
  <c r="R7" i="1"/>
  <c r="N8" i="1"/>
  <c r="R6" i="1"/>
  <c r="P19" i="1" l="1"/>
  <c r="P20" i="1"/>
  <c r="P21" i="1"/>
  <c r="P22" i="1"/>
  <c r="C29" i="3"/>
  <c r="P23" i="1"/>
  <c r="P24" i="1"/>
  <c r="P25" i="1"/>
  <c r="P26" i="1"/>
  <c r="P27" i="1"/>
  <c r="E27" i="1"/>
  <c r="E26" i="1"/>
  <c r="E24" i="1"/>
  <c r="E19" i="1"/>
  <c r="E8" i="1"/>
  <c r="E12" i="1"/>
  <c r="E21" i="1"/>
  <c r="E7" i="1"/>
  <c r="E11" i="1"/>
  <c r="E6" i="1"/>
  <c r="E25" i="1"/>
  <c r="E23" i="1"/>
  <c r="E20" i="1"/>
  <c r="E10" i="1"/>
  <c r="E14" i="1"/>
  <c r="E22" i="1"/>
  <c r="E9" i="1"/>
  <c r="E13" i="1"/>
  <c r="P8" i="1"/>
  <c r="P7" i="1"/>
  <c r="P6" i="1"/>
  <c r="N10" i="3"/>
  <c r="R10" i="3" s="1"/>
  <c r="N9" i="1"/>
  <c r="R8" i="1"/>
  <c r="C31" i="3" l="1"/>
  <c r="N11" i="3"/>
  <c r="R11" i="3" s="1"/>
  <c r="N10" i="1"/>
  <c r="R9" i="1"/>
  <c r="P9" i="1"/>
  <c r="P23" i="3" l="1"/>
  <c r="Q23" i="3" s="1"/>
  <c r="S23" i="3" s="1"/>
  <c r="T23" i="3" s="1"/>
  <c r="P19" i="3"/>
  <c r="Q19" i="3" s="1"/>
  <c r="S19" i="3" s="1"/>
  <c r="T19" i="3" s="1"/>
  <c r="K19" i="3" s="1"/>
  <c r="P24" i="3"/>
  <c r="Q24" i="3" s="1"/>
  <c r="S24" i="3" s="1"/>
  <c r="T24" i="3" s="1"/>
  <c r="P22" i="3"/>
  <c r="Q22" i="3" s="1"/>
  <c r="S22" i="3" s="1"/>
  <c r="T22" i="3" s="1"/>
  <c r="P18" i="3"/>
  <c r="Q18" i="3" s="1"/>
  <c r="S18" i="3" s="1"/>
  <c r="T18" i="3" s="1"/>
  <c r="K18" i="3" s="1"/>
  <c r="P21" i="3"/>
  <c r="Q21" i="3" s="1"/>
  <c r="S21" i="3" s="1"/>
  <c r="T21" i="3" s="1"/>
  <c r="K21" i="3" s="1"/>
  <c r="P20" i="3"/>
  <c r="Q20" i="3" s="1"/>
  <c r="S20" i="3" s="1"/>
  <c r="T20" i="3" s="1"/>
  <c r="K20" i="3" s="1"/>
  <c r="E21" i="3"/>
  <c r="E22" i="3"/>
  <c r="E18" i="3"/>
  <c r="G18" i="3" s="1"/>
  <c r="I18" i="3" s="1"/>
  <c r="E23" i="3"/>
  <c r="E19" i="3"/>
  <c r="E24" i="3"/>
  <c r="G24" i="3" s="1"/>
  <c r="I24" i="3" s="1"/>
  <c r="E20" i="3"/>
  <c r="E8" i="3"/>
  <c r="G8" i="3" s="1"/>
  <c r="I8" i="3" s="1"/>
  <c r="J8" i="3" s="1"/>
  <c r="E10" i="3"/>
  <c r="G10" i="3" s="1"/>
  <c r="I10" i="3" s="1"/>
  <c r="J10" i="3" s="1"/>
  <c r="E12" i="3"/>
  <c r="G12" i="3" s="1"/>
  <c r="I12" i="3" s="1"/>
  <c r="J12" i="3" s="1"/>
  <c r="E7" i="3"/>
  <c r="G7" i="3" s="1"/>
  <c r="I7" i="3" s="1"/>
  <c r="J7" i="3" s="1"/>
  <c r="E9" i="3"/>
  <c r="G9" i="3" s="1"/>
  <c r="I9" i="3" s="1"/>
  <c r="J9" i="3" s="1"/>
  <c r="E11" i="3"/>
  <c r="G11" i="3" s="1"/>
  <c r="I11" i="3" s="1"/>
  <c r="J11" i="3" s="1"/>
  <c r="P10" i="3"/>
  <c r="Q10" i="3" s="1"/>
  <c r="S10" i="3" s="1"/>
  <c r="E6" i="3"/>
  <c r="P9" i="3"/>
  <c r="Q9" i="3" s="1"/>
  <c r="S9" i="3" s="1"/>
  <c r="P7" i="3"/>
  <c r="Q7" i="3" s="1"/>
  <c r="S7" i="3" s="1"/>
  <c r="P6" i="3"/>
  <c r="Q6" i="3" s="1"/>
  <c r="S6" i="3" s="1"/>
  <c r="P8" i="3"/>
  <c r="Q8" i="3" s="1"/>
  <c r="S8" i="3" s="1"/>
  <c r="P11" i="3"/>
  <c r="Q11" i="3" s="1"/>
  <c r="N12" i="3"/>
  <c r="N11" i="1"/>
  <c r="R10" i="1"/>
  <c r="P10" i="1"/>
  <c r="J24" i="3" l="1"/>
  <c r="J18" i="3"/>
  <c r="K23" i="3"/>
  <c r="K24" i="3"/>
  <c r="K22" i="3"/>
  <c r="G22" i="3"/>
  <c r="I22" i="3" s="1"/>
  <c r="G20" i="3"/>
  <c r="I20" i="3" s="1"/>
  <c r="G19" i="3"/>
  <c r="I19" i="3" s="1"/>
  <c r="G21" i="3"/>
  <c r="I21" i="3" s="1"/>
  <c r="G23" i="3"/>
  <c r="I23" i="3" s="1"/>
  <c r="G6" i="3"/>
  <c r="R12" i="3"/>
  <c r="P12" i="3"/>
  <c r="Q12" i="3" s="1"/>
  <c r="S11" i="3"/>
  <c r="N12" i="1"/>
  <c r="R11" i="1"/>
  <c r="P11" i="1"/>
  <c r="J19" i="3" l="1"/>
  <c r="J21" i="3"/>
  <c r="I6" i="3"/>
  <c r="J6" i="3" s="1"/>
  <c r="J23" i="3"/>
  <c r="J22" i="3"/>
  <c r="S12" i="3"/>
  <c r="N13" i="1"/>
  <c r="R12" i="1"/>
  <c r="P12" i="1"/>
  <c r="J20" i="3" l="1"/>
  <c r="N14" i="1"/>
  <c r="R13" i="1"/>
  <c r="P13" i="1"/>
  <c r="R14" i="1" l="1"/>
  <c r="P14" i="1"/>
  <c r="T6" i="3" l="1"/>
  <c r="K6" i="3" s="1"/>
  <c r="T7" i="3" l="1"/>
  <c r="K7" i="3" s="1"/>
  <c r="T8" i="3"/>
  <c r="K8" i="3" s="1"/>
  <c r="T12" i="3"/>
  <c r="T11" i="3"/>
  <c r="T10" i="3"/>
  <c r="T9" i="3"/>
  <c r="K9" i="3" s="1"/>
  <c r="K10" i="3" l="1"/>
  <c r="K12" i="3"/>
  <c r="K11" i="3"/>
  <c r="D9" i="1"/>
  <c r="B22" i="1" s="1"/>
  <c r="D22" i="1" s="1"/>
  <c r="D6" i="1"/>
  <c r="B19" i="1" s="1"/>
  <c r="D19" i="1" s="1"/>
  <c r="D8" i="1"/>
  <c r="B21" i="1" s="1"/>
  <c r="D21" i="1" s="1"/>
  <c r="D7" i="1"/>
  <c r="B20" i="1" s="1"/>
  <c r="D20" i="1" s="1"/>
  <c r="D10" i="1"/>
  <c r="B23" i="1" s="1"/>
  <c r="D23" i="1" s="1"/>
  <c r="D11" i="1"/>
  <c r="B24" i="1" s="1"/>
  <c r="D24" i="1" s="1"/>
  <c r="D12" i="1"/>
  <c r="B25" i="1" s="1"/>
  <c r="D25" i="1" s="1"/>
  <c r="D13" i="1"/>
  <c r="B26" i="1" s="1"/>
  <c r="D26" i="1" s="1"/>
  <c r="D14" i="1"/>
  <c r="B27" i="1" s="1"/>
  <c r="D27" i="1" s="1"/>
  <c r="O27" i="1" l="1"/>
  <c r="Q27" i="1" s="1"/>
  <c r="S27" i="1" s="1"/>
  <c r="T27" i="1" s="1"/>
  <c r="G27" i="1"/>
  <c r="I27" i="1" s="1"/>
  <c r="J27" i="1" s="1"/>
  <c r="O23" i="1"/>
  <c r="Q23" i="1" s="1"/>
  <c r="S23" i="1" s="1"/>
  <c r="T23" i="1" s="1"/>
  <c r="G23" i="1"/>
  <c r="I23" i="1" s="1"/>
  <c r="J23" i="1" s="1"/>
  <c r="O22" i="1"/>
  <c r="Q22" i="1" s="1"/>
  <c r="S22" i="1" s="1"/>
  <c r="T22" i="1" s="1"/>
  <c r="K22" i="1" s="1"/>
  <c r="G22" i="1"/>
  <c r="I22" i="1" s="1"/>
  <c r="J22" i="1" s="1"/>
  <c r="O20" i="1"/>
  <c r="Q20" i="1" s="1"/>
  <c r="S20" i="1" s="1"/>
  <c r="T20" i="1" s="1"/>
  <c r="K20" i="1" s="1"/>
  <c r="G20" i="1"/>
  <c r="I20" i="1" s="1"/>
  <c r="J20" i="1" s="1"/>
  <c r="O25" i="1"/>
  <c r="Q25" i="1" s="1"/>
  <c r="S25" i="1" s="1"/>
  <c r="T25" i="1" s="1"/>
  <c r="G25" i="1"/>
  <c r="I25" i="1" s="1"/>
  <c r="J25" i="1" s="1"/>
  <c r="O21" i="1"/>
  <c r="Q21" i="1" s="1"/>
  <c r="S21" i="1" s="1"/>
  <c r="T21" i="1" s="1"/>
  <c r="K21" i="1" s="1"/>
  <c r="G21" i="1"/>
  <c r="I21" i="1" s="1"/>
  <c r="J21" i="1" s="1"/>
  <c r="O26" i="1"/>
  <c r="Q26" i="1" s="1"/>
  <c r="S26" i="1" s="1"/>
  <c r="T26" i="1" s="1"/>
  <c r="K26" i="1" s="1"/>
  <c r="G26" i="1"/>
  <c r="I26" i="1" s="1"/>
  <c r="J26" i="1" s="1"/>
  <c r="O24" i="1"/>
  <c r="Q24" i="1" s="1"/>
  <c r="S24" i="1" s="1"/>
  <c r="T24" i="1" s="1"/>
  <c r="K24" i="1" s="1"/>
  <c r="G24" i="1"/>
  <c r="I24" i="1" s="1"/>
  <c r="J24" i="1" s="1"/>
  <c r="O19" i="1"/>
  <c r="Q19" i="1" s="1"/>
  <c r="S19" i="1" s="1"/>
  <c r="T19" i="1" s="1"/>
  <c r="K19" i="1" s="1"/>
  <c r="G19" i="1"/>
  <c r="I19" i="1" s="1"/>
  <c r="J19" i="1" s="1"/>
  <c r="G11" i="1"/>
  <c r="I11" i="1" s="1"/>
  <c r="J11" i="1" s="1"/>
  <c r="G6" i="1"/>
  <c r="I6" i="1" s="1"/>
  <c r="J6" i="1" s="1"/>
  <c r="O12" i="1"/>
  <c r="Q12" i="1" s="1"/>
  <c r="S12" i="1" s="1"/>
  <c r="T12" i="1" s="1"/>
  <c r="G12" i="1"/>
  <c r="I12" i="1" s="1"/>
  <c r="J12" i="1" s="1"/>
  <c r="G8" i="1"/>
  <c r="I8" i="1" s="1"/>
  <c r="J8" i="1" s="1"/>
  <c r="G7" i="1"/>
  <c r="I7" i="1" s="1"/>
  <c r="J7" i="1" s="1"/>
  <c r="O13" i="1"/>
  <c r="Q13" i="1" s="1"/>
  <c r="S13" i="1" s="1"/>
  <c r="T13" i="1" s="1"/>
  <c r="G13" i="1"/>
  <c r="I13" i="1" s="1"/>
  <c r="J13" i="1" s="1"/>
  <c r="G14" i="1"/>
  <c r="I14" i="1" s="1"/>
  <c r="J14" i="1" s="1"/>
  <c r="G10" i="1"/>
  <c r="I10" i="1" s="1"/>
  <c r="J10" i="1" s="1"/>
  <c r="G9" i="1"/>
  <c r="I9" i="1" s="1"/>
  <c r="J9" i="1" s="1"/>
  <c r="O10" i="1"/>
  <c r="Q10" i="1" s="1"/>
  <c r="S10" i="1" s="1"/>
  <c r="T10" i="1" s="1"/>
  <c r="O11" i="1"/>
  <c r="Q11" i="1" s="1"/>
  <c r="S11" i="1" s="1"/>
  <c r="T11" i="1" s="1"/>
  <c r="O7" i="1"/>
  <c r="Q7" i="1" s="1"/>
  <c r="S7" i="1" s="1"/>
  <c r="T7" i="1" s="1"/>
  <c r="K7" i="1" s="1"/>
  <c r="O14" i="1"/>
  <c r="Q14" i="1" s="1"/>
  <c r="S14" i="1" s="1"/>
  <c r="T14" i="1" s="1"/>
  <c r="O6" i="1"/>
  <c r="Q6" i="1" s="1"/>
  <c r="S6" i="1" s="1"/>
  <c r="T6" i="1" s="1"/>
  <c r="K6" i="1" s="1"/>
  <c r="O9" i="1"/>
  <c r="Q9" i="1" s="1"/>
  <c r="S9" i="1" s="1"/>
  <c r="T9" i="1" s="1"/>
  <c r="K9" i="1" s="1"/>
  <c r="O8" i="1"/>
  <c r="Q8" i="1" s="1"/>
  <c r="S8" i="1" s="1"/>
  <c r="T8" i="1" s="1"/>
  <c r="K8" i="1" s="1"/>
  <c r="K23" i="1" l="1"/>
  <c r="K25" i="1"/>
  <c r="K27" i="1"/>
  <c r="K13" i="1"/>
  <c r="K12" i="1"/>
  <c r="K14" i="1"/>
  <c r="K11" i="1"/>
  <c r="K10" i="1"/>
</calcChain>
</file>

<file path=xl/comments1.xml><?xml version="1.0" encoding="utf-8"?>
<comments xmlns="http://schemas.openxmlformats.org/spreadsheetml/2006/main">
  <authors>
    <author>Ian Timaeus</author>
  </authors>
  <commentList>
    <comment ref="I2" authorId="0" shapeId="0">
      <text>
        <r>
          <rPr>
            <sz val="9"/>
            <color indexed="81"/>
            <rFont val="Tahoma"/>
            <family val="2"/>
          </rPr>
          <t>To use a different standard life table, select 'Other' on Introduction!D11 and enter its logits in these cells.</t>
        </r>
      </text>
    </comment>
    <comment ref="K30" authorId="0" shapeId="0">
      <text>
        <r>
          <rPr>
            <sz val="9"/>
            <color indexed="81"/>
            <rFont val="Tahoma"/>
            <family val="2"/>
          </rPr>
          <t>N.B.This equation estimates l(35+n+5)/l(35), not l(35+n)/l(35). It is was fitted to the same data as the equations in Timaeus (1992) but gives more robust estimates than estimating l(45)/l(35) using the published equation.</t>
        </r>
      </text>
    </comment>
  </commentList>
</comments>
</file>

<file path=xl/comments2.xml><?xml version="1.0" encoding="utf-8"?>
<comments xmlns="http://schemas.openxmlformats.org/spreadsheetml/2006/main">
  <authors>
    <author>Ian Timaeus</author>
  </authors>
  <commentList>
    <comment ref="D19" authorId="0" shapeId="0">
      <text>
        <r>
          <rPr>
            <sz val="9"/>
            <color indexed="81"/>
            <rFont val="Tahoma"/>
            <family val="2"/>
          </rPr>
          <t>For 1st age group, assume that 50% of the seroprevalent mothers are alive and halve the adjustment.</t>
        </r>
      </text>
    </comment>
    <comment ref="D20" authorId="0" shapeId="0">
      <text>
        <r>
          <rPr>
            <sz val="9"/>
            <color indexed="81"/>
            <rFont val="Tahoma"/>
            <family val="2"/>
          </rPr>
          <t xml:space="preserve">For the 2nd age group, assume that 25% of the seroprevalent mothers are alive and reduce the adjustment by 25%.
</t>
        </r>
      </text>
    </comment>
  </commentList>
</comments>
</file>

<file path=xl/comments3.xml><?xml version="1.0" encoding="utf-8"?>
<comments xmlns="http://schemas.openxmlformats.org/spreadsheetml/2006/main">
  <authors>
    <author>Ian Timaeus</author>
  </authors>
  <commentList>
    <comment ref="G6" authorId="0" shape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 ref="D18" authorId="0" shapeId="0">
      <text>
        <r>
          <rPr>
            <sz val="9"/>
            <color indexed="81"/>
            <rFont val="Tahoma"/>
            <family val="2"/>
          </rPr>
          <t>For 1st age group, assume that 50% of the seroprevalent mothers are alive and halve the adjustment.</t>
        </r>
      </text>
    </comment>
    <comment ref="G18" authorId="0" shape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 ref="D19" authorId="0" shapeId="0">
      <text>
        <r>
          <rPr>
            <sz val="9"/>
            <color indexed="81"/>
            <rFont val="Tahoma"/>
            <family val="2"/>
          </rPr>
          <t xml:space="preserve">For the 2nd age group, assume that 25% of the seroprevalent mothers are alive and reduce the adjustment by 25%.
</t>
        </r>
      </text>
    </comment>
  </commentList>
</comments>
</file>

<file path=xl/sharedStrings.xml><?xml version="1.0" encoding="utf-8"?>
<sst xmlns="http://schemas.openxmlformats.org/spreadsheetml/2006/main" count="384" uniqueCount="158">
  <si>
    <t>Age</t>
  </si>
  <si>
    <t>Total</t>
  </si>
  <si>
    <t>Mother</t>
  </si>
  <si>
    <t>Proportion</t>
  </si>
  <si>
    <t>Level</t>
  </si>
  <si>
    <t>Women</t>
  </si>
  <si>
    <t>Date</t>
  </si>
  <si>
    <t xml:space="preserve"> 5 - 9</t>
  </si>
  <si>
    <t>10-14</t>
  </si>
  <si>
    <t>15-19</t>
  </si>
  <si>
    <t>20-24</t>
  </si>
  <si>
    <t>25-29</t>
  </si>
  <si>
    <t>30-34</t>
  </si>
  <si>
    <t>35-39</t>
  </si>
  <si>
    <t>40-44</t>
  </si>
  <si>
    <t>45-49</t>
  </si>
  <si>
    <t>Mid-point</t>
  </si>
  <si>
    <t>n</t>
  </si>
  <si>
    <t>10</t>
  </si>
  <si>
    <t>15</t>
  </si>
  <si>
    <t>20</t>
  </si>
  <si>
    <t>25</t>
  </si>
  <si>
    <t>30</t>
  </si>
  <si>
    <t>35</t>
  </si>
  <si>
    <t>40</t>
  </si>
  <si>
    <t>45</t>
  </si>
  <si>
    <t>50</t>
  </si>
  <si>
    <t>Totals:</t>
  </si>
  <si>
    <t>Time location of maternal orphanhood estimates</t>
  </si>
  <si>
    <t>Central</t>
  </si>
  <si>
    <t>Standard</t>
  </si>
  <si>
    <t>Time</t>
  </si>
  <si>
    <t>Kenya</t>
  </si>
  <si>
    <t>Time location of paternal orphanhood estimates</t>
  </si>
  <si>
    <t xml:space="preserve">Calculation of the mean age at childbearing </t>
  </si>
  <si>
    <r>
      <rPr>
        <b/>
        <i/>
        <sz val="11"/>
        <rFont val="Arial Narrow"/>
        <family val="2"/>
      </rPr>
      <t>S</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</si>
  <si>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</si>
  <si>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t>Age difference</t>
  </si>
  <si>
    <r>
      <rPr>
        <b/>
        <i/>
        <sz val="12"/>
        <color indexed="8"/>
        <rFont val="Times New Roman"/>
        <family val="1"/>
      </rPr>
      <t>l</t>
    </r>
    <r>
      <rPr>
        <b/>
        <sz val="11"/>
        <color indexed="8"/>
        <rFont val="Arial Narrow"/>
        <family val="2"/>
      </rPr>
      <t>(25)</t>
    </r>
  </si>
  <si>
    <r>
      <rPr>
        <b/>
        <i/>
        <u/>
        <sz val="12"/>
        <rFont val="Times New Roman"/>
        <family val="1"/>
      </rPr>
      <t>l</t>
    </r>
    <r>
      <rPr>
        <b/>
        <u/>
        <sz val="11"/>
        <rFont val="Arial Narrow"/>
        <family val="2"/>
      </rPr>
      <t>(25+n)</t>
    </r>
  </si>
  <si>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</si>
  <si>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t>N</t>
  </si>
  <si>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</si>
  <si>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1"/>
        <rFont val="Arial Narrow"/>
        <family val="2"/>
      </rPr>
      <t>B</t>
    </r>
    <r>
      <rPr>
        <b/>
        <sz val="11"/>
        <rFont val="Arial Narrow"/>
        <family val="2"/>
      </rPr>
      <t>(</t>
    </r>
    <r>
      <rPr>
        <b/>
        <i/>
        <sz val="11"/>
        <rFont val="Arial Narrow"/>
        <family val="2"/>
      </rPr>
      <t>i</t>
    </r>
    <r>
      <rPr>
        <b/>
        <sz val="11"/>
        <rFont val="Arial Narrow"/>
        <family val="2"/>
      </rPr>
      <t>)</t>
    </r>
  </si>
  <si>
    <t>last year</t>
  </si>
  <si>
    <t>Births in the</t>
  </si>
  <si>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</si>
  <si>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N</t>
    </r>
    <r>
      <rPr>
        <b/>
        <sz val="11"/>
        <rFont val="Arial Narrow"/>
        <family val="2"/>
      </rPr>
      <t>/2</t>
    </r>
  </si>
  <si>
    <t>T</t>
  </si>
  <si>
    <t>Calculation of the mean age at childbearing</t>
  </si>
  <si>
    <t>age</t>
  </si>
  <si>
    <t>group</t>
  </si>
  <si>
    <t>alive</t>
  </si>
  <si>
    <t>surviving</t>
  </si>
  <si>
    <t>prop. alive</t>
  </si>
  <si>
    <t>non-linearity</t>
  </si>
  <si>
    <t>Correction for</t>
  </si>
  <si>
    <t>location</t>
  </si>
  <si>
    <t>α</t>
  </si>
  <si>
    <t xml:space="preserve"> 5- 9</t>
  </si>
  <si>
    <t>Estimation of adult mortality from orphanhood:</t>
  </si>
  <si>
    <t>Men</t>
  </si>
  <si>
    <t>of exposure</t>
  </si>
  <si>
    <t>Modified</t>
  </si>
  <si>
    <t>Standard life table</t>
  </si>
  <si>
    <r>
      <t>(</t>
    </r>
    <r>
      <rPr>
        <b/>
        <i/>
        <sz val="11"/>
        <rFont val="Arial Narrow"/>
        <family val="2"/>
      </rPr>
      <t>N</t>
    </r>
    <r>
      <rPr>
        <b/>
        <sz val="11"/>
        <rFont val="Arial Narrow"/>
        <family val="2"/>
      </rPr>
      <t>+0.75)/2</t>
    </r>
  </si>
  <si>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</si>
  <si>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</si>
  <si>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</si>
  <si>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t>UN General</t>
  </si>
  <si>
    <t>Father</t>
  </si>
  <si>
    <t>Married men</t>
  </si>
  <si>
    <t>Married women</t>
  </si>
  <si>
    <t xml:space="preserve"> Cum. % of marr. men</t>
  </si>
  <si>
    <t xml:space="preserve"> Cum. % of marr. wom.</t>
  </si>
  <si>
    <t xml:space="preserve">Calculation of the median ages of the married </t>
  </si>
  <si>
    <t>respondents</t>
  </si>
  <si>
    <r>
      <t>M</t>
    </r>
    <r>
      <rPr>
        <b/>
        <i/>
        <vertAlign val="superscript"/>
        <sz val="12"/>
        <rFont val="Arial Narrow"/>
        <family val="2"/>
      </rPr>
      <t>f</t>
    </r>
    <r>
      <rPr>
        <b/>
        <i/>
        <sz val="12"/>
        <rFont val="Arial Narrow"/>
        <family val="2"/>
      </rPr>
      <t xml:space="preserve"> = </t>
    </r>
  </si>
  <si>
    <t>(1989 data)</t>
  </si>
  <si>
    <t>Data entry:</t>
  </si>
  <si>
    <t>Enter date of interview:</t>
  </si>
  <si>
    <t>Select summary index:</t>
  </si>
  <si>
    <t>Select standard life table:</t>
  </si>
  <si>
    <t>Name of country/population:</t>
  </si>
  <si>
    <t>age at interview</t>
  </si>
  <si>
    <t xml:space="preserve">Births by: </t>
  </si>
  <si>
    <t>Input parameters</t>
  </si>
  <si>
    <t xml:space="preserve">Date of inquiry: </t>
  </si>
  <si>
    <t>Version 1.0 Date: 8/11/2011</t>
  </si>
  <si>
    <t xml:space="preserve">This method is described at: </t>
  </si>
  <si>
    <t>1)</t>
  </si>
  <si>
    <t>2)</t>
  </si>
  <si>
    <t>3)</t>
  </si>
  <si>
    <t>4)</t>
  </si>
  <si>
    <t>5)</t>
  </si>
  <si>
    <t>OR</t>
  </si>
  <si>
    <t>6)</t>
  </si>
  <si>
    <t>7)</t>
  </si>
  <si>
    <t>8)</t>
  </si>
  <si>
    <t xml:space="preserve">Enter the name of the country or population to the right of this cell </t>
  </si>
  <si>
    <t>Select the name of family of model life tables against which you want to assess the level and trend in mortality in this population using the drop down box to the right of this cell</t>
  </si>
  <si>
    <t>Select the summary index of adult mortality that you wish to tabulate and plot using the drop down box to the right of this cell.</t>
  </si>
  <si>
    <t>Maternal orphanhood</t>
  </si>
  <si>
    <t>Princeton East</t>
  </si>
  <si>
    <t>Princeton North</t>
  </si>
  <si>
    <t>Princeton South</t>
  </si>
  <si>
    <t>Princeton West</t>
  </si>
  <si>
    <t>Regression coefficients (Timaeus, 1992)</t>
  </si>
  <si>
    <t>α =</t>
  </si>
  <si>
    <t>Paternal orphanhood</t>
  </si>
  <si>
    <t>Age group</t>
  </si>
  <si>
    <r>
      <t xml:space="preserve">Model life table logits </t>
    </r>
    <r>
      <rPr>
        <b/>
        <i/>
        <sz val="12"/>
        <rFont val="Arial"/>
        <family val="2"/>
      </rPr>
      <t>e</t>
    </r>
    <r>
      <rPr>
        <b/>
        <vertAlign val="subscript"/>
        <sz val="12"/>
        <rFont val="Arial"/>
        <family val="2"/>
      </rPr>
      <t>0</t>
    </r>
    <r>
      <rPr>
        <b/>
        <sz val="12"/>
        <rFont val="Arial"/>
        <family val="2"/>
      </rPr>
      <t>=60, both sexes</t>
    </r>
  </si>
  <si>
    <t>Date of inquiry:</t>
  </si>
  <si>
    <t>Probability</t>
  </si>
  <si>
    <t>of dying</t>
  </si>
  <si>
    <t>Mean age of child bearing</t>
  </si>
  <si>
    <t>+</t>
  </si>
  <si>
    <t>Regression coefficients (Timaeus &amp; Nunn, 1997)</t>
  </si>
  <si>
    <t>Estimated HIV prevalence</t>
  </si>
  <si>
    <t>Instructions</t>
  </si>
  <si>
    <t>Estimation of adult mortality from data on orphanhood with AIDS</t>
  </si>
  <si>
    <t>30q30</t>
  </si>
  <si>
    <t>Adjusted proportion alive</t>
  </si>
  <si>
    <t>Other</t>
  </si>
  <si>
    <r>
      <t xml:space="preserve">If you have data on numbers of respondents and number with living mothers by age group, paste these into cells </t>
    </r>
    <r>
      <rPr>
        <b/>
        <sz val="12"/>
        <rFont val="Arial"/>
        <family val="2"/>
      </rPr>
      <t>B6:C14</t>
    </r>
    <r>
      <rPr>
        <sz val="12"/>
        <rFont val="Arial"/>
        <family val="2"/>
      </rPr>
      <t xml:space="preserve"> of the </t>
    </r>
    <r>
      <rPr>
        <b/>
        <sz val="12"/>
        <rFont val="Arial"/>
        <family val="2"/>
      </rPr>
      <t>"Maternal orphanhood"</t>
    </r>
    <r>
      <rPr>
        <sz val="12"/>
        <rFont val="Arial"/>
        <family val="2"/>
      </rPr>
      <t xml:space="preserve"> sheet. The counts of respondents should exclude anyone who did not know whether their mother was alive or did not answer the question.</t>
    </r>
  </si>
  <si>
    <r>
      <t xml:space="preserve">If you have data on the proportions of respondents with living mothers by age group, paste these into cells </t>
    </r>
    <r>
      <rPr>
        <b/>
        <sz val="12"/>
        <rFont val="Arial"/>
        <family val="2"/>
      </rPr>
      <t>D6:D14</t>
    </r>
    <r>
      <rPr>
        <sz val="12"/>
        <rFont val="Arial"/>
        <family val="2"/>
      </rPr>
      <t xml:space="preserve"> of the </t>
    </r>
    <r>
      <rPr>
        <b/>
        <sz val="12"/>
        <rFont val="Arial"/>
        <family val="2"/>
      </rPr>
      <t>"Maternal orphanhood"</t>
    </r>
    <r>
      <rPr>
        <sz val="12"/>
        <rFont val="Arial"/>
        <family val="2"/>
      </rPr>
      <t xml:space="preserve"> sheet. If they are expressed as percentages, divide them by 100 before doing this.</t>
    </r>
  </si>
  <si>
    <r>
      <t xml:space="preserve">If you have data on numbers of respondents and number with living fathers by age group, paste these into cells </t>
    </r>
    <r>
      <rPr>
        <b/>
        <sz val="12"/>
        <rFont val="Arial"/>
        <family val="2"/>
      </rPr>
      <t>B6:C13</t>
    </r>
    <r>
      <rPr>
        <sz val="12"/>
        <rFont val="Arial"/>
        <family val="2"/>
      </rPr>
      <t xml:space="preserve"> of the </t>
    </r>
    <r>
      <rPr>
        <b/>
        <sz val="12"/>
        <rFont val="Arial"/>
        <family val="2"/>
      </rPr>
      <t>"Paternal orphanhood"</t>
    </r>
    <r>
      <rPr>
        <sz val="12"/>
        <rFont val="Arial"/>
        <family val="2"/>
      </rPr>
      <t xml:space="preserve"> sheet. The counts of respondents should exclude anyone who did not know whether their father was alive or did not answer the question.</t>
    </r>
  </si>
  <si>
    <r>
      <t xml:space="preserve">If you have data on the proportions of respondents with living fathers by age group, paste these into cells </t>
    </r>
    <r>
      <rPr>
        <b/>
        <sz val="12"/>
        <rFont val="Arial"/>
        <family val="2"/>
      </rPr>
      <t>D6:D13</t>
    </r>
    <r>
      <rPr>
        <sz val="12"/>
        <rFont val="Arial"/>
        <family val="2"/>
      </rPr>
      <t xml:space="preserve"> of the </t>
    </r>
    <r>
      <rPr>
        <b/>
        <sz val="12"/>
        <rFont val="Arial"/>
        <family val="2"/>
      </rPr>
      <t>"Paternal orphanhood"</t>
    </r>
    <r>
      <rPr>
        <sz val="12"/>
        <rFont val="Arial"/>
        <family val="2"/>
      </rPr>
      <t xml:space="preserve"> sheet. If they are expressed as percentages, divide them by 100 before doing this.</t>
    </r>
  </si>
  <si>
    <r>
      <t xml:space="preserve">To calculate the mean age of childbearing of women, paste the number of births in the year before the survey by age of mother into cells </t>
    </r>
    <r>
      <rPr>
        <b/>
        <sz val="12"/>
        <rFont val="Arial"/>
        <family val="2"/>
      </rPr>
      <t>B34:B40</t>
    </r>
    <r>
      <rPr>
        <sz val="12"/>
        <rFont val="Arial"/>
        <family val="2"/>
      </rPr>
      <t xml:space="preserve"> of the </t>
    </r>
    <r>
      <rPr>
        <b/>
        <sz val="12"/>
        <rFont val="Arial"/>
        <family val="2"/>
      </rPr>
      <t>"Maternal orphanhood"</t>
    </r>
    <r>
      <rPr>
        <sz val="12"/>
        <rFont val="Arial"/>
        <family val="2"/>
      </rPr>
      <t xml:space="preserve"> sheet. By default, it is assumed that the births are tabulated by women's age at interview, not age at giving birth but there is an option to change this.</t>
    </r>
  </si>
  <si>
    <r>
      <t xml:space="preserve">To estimate the mean age of childbearing of men, enter the numbers of currently married men and women by age group into cells </t>
    </r>
    <r>
      <rPr>
        <b/>
        <sz val="12"/>
        <rFont val="Arial"/>
        <family val="2"/>
      </rPr>
      <t>B37:C51</t>
    </r>
    <r>
      <rPr>
        <sz val="12"/>
        <rFont val="Arial"/>
        <family val="2"/>
      </rPr>
      <t xml:space="preserve"> of the </t>
    </r>
    <r>
      <rPr>
        <b/>
        <sz val="12"/>
        <rFont val="Arial"/>
        <family val="2"/>
      </rPr>
      <t>"Paternal orphanhood"</t>
    </r>
    <r>
      <rPr>
        <sz val="12"/>
        <rFont val="Arial"/>
        <family val="2"/>
      </rPr>
      <t xml:space="preserve"> sheet. These data are used to calculate the median ages of the currently married and should include all married individuals of any age, but you can insert data with any open-ended age group with an initial age exceeding these medians, which are unlikely to be more than 45.</t>
    </r>
  </si>
  <si>
    <t>This spreadsheet estimates adult women's and men's mortality from proportions of respondents with living mothers and fathers. If you have several sets of such data from multiple inquiries, you are advised to use the "Synthetic orphanhood in adulthood" spreadsheet to make estimates as such data open up additional analytic possibilities. This version implements the adjustments for selection bias and coefficients for estimating maternal orphanhood in populations affected by AIDS proposed by Timaeus and Nunn (1997).</t>
  </si>
  <si>
    <t>9)</t>
  </si>
  <si>
    <t>10)</t>
  </si>
  <si>
    <t>11)</t>
  </si>
  <si>
    <r>
      <t xml:space="preserve">Enter </t>
    </r>
    <r>
      <rPr>
        <i/>
        <sz val="12"/>
        <rFont val="Arial"/>
        <family val="2"/>
      </rPr>
      <t>h</t>
    </r>
  </si>
  <si>
    <r>
      <t xml:space="preserve">Enter </t>
    </r>
    <r>
      <rPr>
        <i/>
        <sz val="12"/>
        <rFont val="Arial"/>
        <family val="2"/>
      </rPr>
      <t>F</t>
    </r>
  </si>
  <si>
    <r>
      <t xml:space="preserve">Enter </t>
    </r>
    <r>
      <rPr>
        <i/>
        <sz val="12"/>
        <rFont val="Arial"/>
        <family val="2"/>
      </rPr>
      <t>w</t>
    </r>
  </si>
  <si>
    <t>AIDS</t>
  </si>
  <si>
    <r>
      <t xml:space="preserve">Men </t>
    </r>
    <r>
      <rPr>
        <b/>
        <i/>
        <sz val="12"/>
        <rFont val="Arial Narrow"/>
        <family val="2"/>
      </rPr>
      <t>e</t>
    </r>
    <r>
      <rPr>
        <b/>
        <vertAlign val="subscript"/>
        <sz val="12"/>
        <rFont val="Arial Narrow"/>
        <family val="2"/>
      </rPr>
      <t>0</t>
    </r>
    <r>
      <rPr>
        <b/>
        <sz val="12"/>
        <rFont val="Arial Narrow"/>
        <family val="2"/>
      </rPr>
      <t>=50</t>
    </r>
  </si>
  <si>
    <t>β =</t>
  </si>
  <si>
    <t>Men AIDS</t>
  </si>
  <si>
    <t>Women AIDS</t>
  </si>
  <si>
    <t>http://demographicestimation.iussp.org/user/?destination=content/orphanhood</t>
  </si>
  <si>
    <r>
      <t>Enter the vertical transmission rate of HIV infection (</t>
    </r>
    <r>
      <rPr>
        <i/>
        <sz val="12"/>
        <rFont val="Arial"/>
        <family val="2"/>
      </rPr>
      <t>h</t>
    </r>
    <r>
      <rPr>
        <sz val="12"/>
        <rFont val="Arial"/>
        <family val="2"/>
      </rPr>
      <t>) to the right of this cell.</t>
    </r>
  </si>
  <si>
    <r>
      <t>Enter the relative level of fertility of HIV infected women (</t>
    </r>
    <r>
      <rPr>
        <i/>
        <sz val="12"/>
        <rFont val="Arial"/>
        <family val="2"/>
      </rPr>
      <t>F</t>
    </r>
    <r>
      <rPr>
        <sz val="12"/>
        <rFont val="Arial"/>
        <family val="2"/>
      </rPr>
      <t>) to the right of this cell.</t>
    </r>
  </si>
  <si>
    <r>
      <t>Enter the proportion infected (</t>
    </r>
    <r>
      <rPr>
        <i/>
        <sz val="12"/>
        <rFont val="Arial"/>
        <family val="2"/>
      </rPr>
      <t>w</t>
    </r>
    <r>
      <rPr>
        <sz val="12"/>
        <rFont val="Arial"/>
        <family val="2"/>
      </rPr>
      <t>) of the partners of infected women to the right of this cell.</t>
    </r>
  </si>
  <si>
    <t>Enter the mean date of interview or mid-point of the period over which fieldwork for the inquiry was conducted to the right of this cell.</t>
  </si>
  <si>
    <r>
      <rPr>
        <b/>
        <i/>
        <sz val="10"/>
        <color theme="9" tint="-0.499984740745262"/>
        <rFont val="Arial"/>
        <family val="2"/>
      </rPr>
      <t>M</t>
    </r>
    <r>
      <rPr>
        <b/>
        <sz val="10"/>
        <color theme="9" tint="-0.499984740745262"/>
        <rFont val="Arial"/>
        <family val="2"/>
      </rPr>
      <t xml:space="preserve"> =</t>
    </r>
  </si>
  <si>
    <r>
      <t>M</t>
    </r>
    <r>
      <rPr>
        <b/>
        <i/>
        <vertAlign val="superscript"/>
        <sz val="12"/>
        <color theme="9" tint="-0.499984740745262"/>
        <rFont val="Arial Narrow"/>
        <family val="2"/>
      </rPr>
      <t>m</t>
    </r>
    <r>
      <rPr>
        <b/>
        <i/>
        <sz val="12"/>
        <color theme="9" tint="-0.499984740745262"/>
        <rFont val="Arial Narrow"/>
        <family val="2"/>
      </rPr>
      <t xml:space="preserve"> = </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</si>
  <si>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</si>
  <si>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</si>
  <si>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</si>
  <si>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rPr>
        <b/>
        <i/>
        <sz val="12"/>
        <rFont val="Arial Narrow"/>
        <family val="2"/>
      </rPr>
      <t>l</t>
    </r>
    <r>
      <rPr>
        <b/>
        <sz val="11"/>
        <rFont val="Arial Narrow"/>
        <family val="2"/>
      </rPr>
      <t>(</t>
    </r>
    <r>
      <rPr>
        <b/>
        <i/>
        <sz val="11"/>
        <rFont val="Arial Narrow"/>
        <family val="2"/>
      </rPr>
      <t>x</t>
    </r>
    <r>
      <rPr>
        <b/>
        <sz val="11"/>
        <rFont val="Arial Narrow"/>
        <family val="2"/>
      </rPr>
      <t>)</t>
    </r>
  </si>
  <si>
    <r>
      <rPr>
        <b/>
        <i/>
        <sz val="11"/>
        <rFont val="Arial Narrow"/>
        <family val="2"/>
      </rPr>
      <t>a</t>
    </r>
    <r>
      <rPr>
        <b/>
        <sz val="11"/>
        <rFont val="Arial Narrow"/>
        <family val="2"/>
      </rPr>
      <t>(</t>
    </r>
    <r>
      <rPr>
        <b/>
        <i/>
        <sz val="11"/>
        <rFont val="Arial Narrow"/>
        <family val="2"/>
      </rPr>
      <t>n</t>
    </r>
    <r>
      <rPr>
        <b/>
        <sz val="11"/>
        <rFont val="Arial Narrow"/>
        <family val="2"/>
      </rPr>
      <t>)</t>
    </r>
  </si>
  <si>
    <r>
      <rPr>
        <b/>
        <i/>
        <sz val="11"/>
        <rFont val="Arial Narrow"/>
        <family val="2"/>
      </rPr>
      <t>b</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</si>
  <si>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</si>
  <si>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d</t>
    </r>
    <r>
      <rPr>
        <b/>
        <sz val="11"/>
        <rFont val="Arial Narrow"/>
        <family val="2"/>
      </rPr>
      <t>(</t>
    </r>
    <r>
      <rPr>
        <b/>
        <i/>
        <sz val="11"/>
        <rFont val="Arial Narrow"/>
        <family val="2"/>
      </rPr>
      <t>n</t>
    </r>
    <r>
      <rPr>
        <b/>
        <sz val="11"/>
        <rFont val="Arial Narrow"/>
        <family val="2"/>
      </rPr>
      <t>)</t>
    </r>
  </si>
  <si>
    <r>
      <t>Women</t>
    </r>
    <r>
      <rPr>
        <b/>
        <i/>
        <sz val="12"/>
        <rFont val="Arial Narrow"/>
        <family val="2"/>
      </rPr>
      <t xml:space="preserve"> e</t>
    </r>
    <r>
      <rPr>
        <b/>
        <vertAlign val="subscript"/>
        <sz val="12"/>
        <rFont val="Arial Narrow"/>
        <family val="2"/>
      </rPr>
      <t>0</t>
    </r>
    <r>
      <rPr>
        <b/>
        <sz val="12"/>
        <rFont val="Arial Narrow"/>
        <family val="2"/>
      </rPr>
      <t>=52.5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</si>
</sst>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 #,##0.00_-;\-* #,##0.00_-;_-* &quot;-&quot;??_-;_-@_-"/>
    <numFmt numFmtId="165" formatCode="General_)"/>
    <numFmt numFmtId="166" formatCode="0.0000_)"/>
    <numFmt numFmtId="167" formatCode="0.00_)"/>
    <numFmt numFmtId="168" formatCode="0_)"/>
    <numFmt numFmtId="169" formatCode="0.000_)"/>
    <numFmt numFmtId="170" formatCode="0.0_)"/>
    <numFmt numFmtId="171" formatCode="_(* #,##0_);_(* \(#,##0\);_(* &quot;-&quot;??_);_(@_)"/>
    <numFmt numFmtId="172" formatCode="0.00000"/>
    <numFmt numFmtId="173" formatCode="\-#,##0"/>
    <numFmt numFmtId="174" formatCode="0.00000_)"/>
    <numFmt numFmtId="175" formatCode="#,##0.0000"/>
  </numFmts>
  <fonts count="51">
    <font>
      <sz val="12"/>
      <name val="Courier"/>
    </font>
    <font>
      <sz val="10"/>
      <color theme="1"/>
      <name val="Arial"/>
      <family val="2"/>
    </font>
    <font>
      <sz val="10"/>
      <name val="Arial"/>
      <family val="2"/>
    </font>
    <font>
      <sz val="10"/>
      <name val="Arial"/>
      <family val="2"/>
    </font>
    <font>
      <sz val="10"/>
      <color indexed="8"/>
      <name val="Arial"/>
      <family val="2"/>
    </font>
    <font>
      <u/>
      <sz val="10"/>
      <name val="Arial"/>
      <family val="2"/>
    </font>
    <font>
      <sz val="9"/>
      <name val="Arial"/>
      <family val="2"/>
    </font>
    <font>
      <sz val="10"/>
      <name val="Courier"/>
      <family val="3"/>
    </font>
    <font>
      <u/>
      <sz val="10"/>
      <color indexed="8"/>
      <name val="Arial"/>
      <family val="2"/>
    </font>
    <font>
      <b/>
      <sz val="12"/>
      <name val="Arial"/>
      <family val="2"/>
    </font>
    <font>
      <sz val="12"/>
      <name val="Arial"/>
      <family val="2"/>
    </font>
    <font>
      <i/>
      <sz val="10"/>
      <name val="Arial"/>
      <family val="2"/>
    </font>
    <font>
      <sz val="10"/>
      <name val="Courier"/>
      <family val="3"/>
    </font>
    <font>
      <sz val="12"/>
      <name val="Courier"/>
      <family val="3"/>
    </font>
    <font>
      <sz val="12"/>
      <name val="Arial Narrow"/>
      <family val="2"/>
    </font>
    <font>
      <b/>
      <sz val="12"/>
      <name val="Arial Narrow"/>
      <family val="2"/>
    </font>
    <font>
      <b/>
      <sz val="11"/>
      <name val="Arial Narrow"/>
      <family val="2"/>
    </font>
    <font>
      <b/>
      <u/>
      <sz val="11"/>
      <name val="Arial Narrow"/>
      <family val="2"/>
    </font>
    <font>
      <b/>
      <i/>
      <sz val="11"/>
      <name val="Arial Narrow"/>
      <family val="2"/>
    </font>
    <font>
      <b/>
      <sz val="11"/>
      <color indexed="8"/>
      <name val="Arial Narrow"/>
      <family val="2"/>
    </font>
    <font>
      <b/>
      <i/>
      <sz val="11"/>
      <color indexed="8"/>
      <name val="Arial Narrow"/>
      <family val="2"/>
    </font>
    <font>
      <b/>
      <i/>
      <vertAlign val="subscript"/>
      <sz val="11"/>
      <name val="Arial Narrow"/>
      <family val="2"/>
    </font>
    <font>
      <b/>
      <sz val="11"/>
      <name val="Arial"/>
      <family val="2"/>
    </font>
    <font>
      <b/>
      <sz val="11"/>
      <name val="Calibri"/>
      <family val="2"/>
    </font>
    <font>
      <sz val="8"/>
      <name val="SAS Monospace"/>
    </font>
    <font>
      <u/>
      <sz val="10"/>
      <color theme="10"/>
      <name val="Arial"/>
      <family val="2"/>
    </font>
    <font>
      <b/>
      <i/>
      <sz val="12"/>
      <color indexed="8"/>
      <name val="Times New Roman"/>
      <family val="1"/>
    </font>
    <font>
      <b/>
      <i/>
      <sz val="12"/>
      <name val="Times New Roman"/>
      <family val="1"/>
    </font>
    <font>
      <b/>
      <i/>
      <u/>
      <sz val="12"/>
      <name val="Times New Roman"/>
      <family val="1"/>
    </font>
    <font>
      <b/>
      <i/>
      <sz val="12"/>
      <name val="Arial"/>
      <family val="2"/>
    </font>
    <font>
      <b/>
      <i/>
      <vertAlign val="superscript"/>
      <sz val="12"/>
      <name val="Arial Narrow"/>
      <family val="2"/>
    </font>
    <font>
      <b/>
      <i/>
      <sz val="12"/>
      <name val="Arial Narrow"/>
      <family val="2"/>
    </font>
    <font>
      <sz val="11"/>
      <color indexed="8"/>
      <name val="Calibri"/>
      <family val="2"/>
    </font>
    <font>
      <u/>
      <sz val="12"/>
      <color theme="10"/>
      <name val="Arial"/>
      <family val="2"/>
    </font>
    <font>
      <i/>
      <sz val="12"/>
      <name val="Arial"/>
      <family val="2"/>
    </font>
    <font>
      <sz val="9"/>
      <color indexed="81"/>
      <name val="Tahoma"/>
      <family val="2"/>
    </font>
    <font>
      <sz val="12"/>
      <color rgb="FFFF0000"/>
      <name val="Arial"/>
      <family val="2"/>
    </font>
    <font>
      <sz val="12"/>
      <color theme="0"/>
      <name val="Arial"/>
      <family val="2"/>
    </font>
    <font>
      <i/>
      <sz val="12"/>
      <color indexed="81"/>
      <name val="Times New Roman"/>
      <family val="1"/>
    </font>
    <font>
      <b/>
      <vertAlign val="subscript"/>
      <sz val="12"/>
      <name val="Arial"/>
      <family val="2"/>
    </font>
    <font>
      <b/>
      <vertAlign val="subscript"/>
      <sz val="12"/>
      <name val="Arial Narrow"/>
      <family val="2"/>
    </font>
    <font>
      <sz val="12"/>
      <color rgb="FF006600"/>
      <name val="Arial"/>
      <family val="2"/>
    </font>
    <font>
      <i/>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b/>
      <i/>
      <sz val="12"/>
      <color theme="9" tint="-0.499984740745262"/>
      <name val="Arial"/>
      <family val="2"/>
    </font>
    <font>
      <b/>
      <i/>
      <vertAlign val="superscript"/>
      <sz val="12"/>
      <color theme="9" tint="-0.499984740745262"/>
      <name val="Arial Narrow"/>
      <family val="2"/>
    </font>
    <font>
      <b/>
      <i/>
      <sz val="12"/>
      <color theme="9" tint="-0.499984740745262"/>
      <name val="Arial Narrow"/>
      <family val="2"/>
    </font>
    <font>
      <b/>
      <vertAlign val="subscript"/>
      <sz val="11"/>
      <name val="Arial Narrow"/>
      <family val="2"/>
    </font>
  </fonts>
  <fills count="7">
    <fill>
      <patternFill patternType="none"/>
    </fill>
    <fill>
      <patternFill patternType="gray125"/>
    </fill>
    <fill>
      <patternFill patternType="solid">
        <fgColor rgb="FFC6EFCE"/>
        <bgColor indexed="64"/>
      </patternFill>
    </fill>
    <fill>
      <patternFill patternType="solid">
        <fgColor rgb="FFFFEB9B"/>
        <bgColor indexed="64"/>
      </patternFill>
    </fill>
    <fill>
      <patternFill patternType="solid">
        <fgColor theme="0"/>
        <bgColor indexed="64"/>
      </patternFill>
    </fill>
    <fill>
      <patternFill patternType="solid">
        <fgColor rgb="FFFFEB9C"/>
        <bgColor indexed="64"/>
      </patternFill>
    </fill>
    <fill>
      <patternFill patternType="solid">
        <fgColor theme="5" tint="0.39997558519241921"/>
        <bgColor indexed="64"/>
      </patternFill>
    </fill>
  </fills>
  <borders count="16">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s>
  <cellStyleXfs count="14">
    <xf numFmtId="165" fontId="0" fillId="0" borderId="0"/>
    <xf numFmtId="164" fontId="2" fillId="0" borderId="0" applyFont="0" applyFill="0" applyBorder="0" applyAlignment="0" applyProtection="0"/>
    <xf numFmtId="166" fontId="12" fillId="0" borderId="0"/>
    <xf numFmtId="166" fontId="12" fillId="0" borderId="0"/>
    <xf numFmtId="0" fontId="24" fillId="0" borderId="0"/>
    <xf numFmtId="0" fontId="3" fillId="0" borderId="0"/>
    <xf numFmtId="0" fontId="25" fillId="0" borderId="0" applyNumberFormat="0" applyFill="0" applyBorder="0" applyAlignment="0" applyProtection="0">
      <alignment vertical="top"/>
      <protection locked="0"/>
    </xf>
    <xf numFmtId="0" fontId="24" fillId="0" borderId="0"/>
    <xf numFmtId="0" fontId="3" fillId="0" borderId="0"/>
    <xf numFmtId="43" fontId="32" fillId="0" borderId="0" applyFont="0" applyFill="0" applyBorder="0" applyAlignment="0" applyProtection="0"/>
    <xf numFmtId="165" fontId="13" fillId="0" borderId="0"/>
    <xf numFmtId="166" fontId="7" fillId="0" borderId="0"/>
    <xf numFmtId="0" fontId="2" fillId="0" borderId="0"/>
    <xf numFmtId="0" fontId="1" fillId="0" borderId="0"/>
  </cellStyleXfs>
  <cellXfs count="228">
    <xf numFmtId="165" fontId="0" fillId="0" borderId="0" xfId="0"/>
    <xf numFmtId="165" fontId="3" fillId="0" borderId="0" xfId="0" applyFont="1" applyAlignment="1" applyProtection="1">
      <alignment horizontal="center"/>
    </xf>
    <xf numFmtId="166" fontId="3" fillId="0" borderId="0" xfId="0" applyNumberFormat="1" applyFont="1" applyProtection="1"/>
    <xf numFmtId="165" fontId="3" fillId="0" borderId="0" xfId="0" applyFont="1" applyProtection="1"/>
    <xf numFmtId="165" fontId="3" fillId="0" borderId="0" xfId="0" applyFont="1" applyAlignment="1" applyProtection="1">
      <alignment horizontal="right"/>
    </xf>
    <xf numFmtId="165" fontId="10" fillId="0" borderId="0" xfId="0" applyFont="1"/>
    <xf numFmtId="165" fontId="9" fillId="0" borderId="0" xfId="0" quotePrefix="1" applyFont="1" applyAlignment="1" applyProtection="1">
      <alignment horizontal="left"/>
    </xf>
    <xf numFmtId="166" fontId="3" fillId="0" borderId="0" xfId="0" applyNumberFormat="1" applyFont="1" applyBorder="1" applyProtection="1"/>
    <xf numFmtId="166" fontId="3" fillId="0" borderId="0" xfId="0" applyNumberFormat="1" applyFont="1" applyFill="1" applyBorder="1" applyAlignment="1" applyProtection="1">
      <alignment horizontal="right"/>
    </xf>
    <xf numFmtId="166" fontId="3" fillId="0" borderId="0" xfId="0" applyNumberFormat="1" applyFont="1" applyFill="1" applyBorder="1" applyProtection="1"/>
    <xf numFmtId="166" fontId="3" fillId="0" borderId="0" xfId="0" applyNumberFormat="1" applyFont="1" applyFill="1" applyBorder="1" applyAlignment="1" applyProtection="1">
      <alignment horizontal="center"/>
    </xf>
    <xf numFmtId="167" fontId="4" fillId="0" borderId="0" xfId="0" applyNumberFormat="1" applyFont="1" applyFill="1" applyBorder="1" applyProtection="1"/>
    <xf numFmtId="165" fontId="13" fillId="0" borderId="0" xfId="0" applyFont="1"/>
    <xf numFmtId="165" fontId="3" fillId="0" borderId="0" xfId="0" applyFont="1" applyFill="1" applyProtection="1"/>
    <xf numFmtId="165" fontId="3" fillId="0" borderId="0" xfId="0" applyFont="1" applyFill="1" applyAlignment="1" applyProtection="1">
      <alignment horizontal="left"/>
    </xf>
    <xf numFmtId="165" fontId="9" fillId="0" borderId="0" xfId="0" applyFont="1" applyAlignment="1" applyProtection="1">
      <alignment horizontal="left"/>
    </xf>
    <xf numFmtId="165" fontId="10" fillId="0" borderId="0" xfId="0" applyFont="1" applyFill="1"/>
    <xf numFmtId="3" fontId="3" fillId="0" borderId="0" xfId="0" applyNumberFormat="1" applyFont="1" applyFill="1" applyProtection="1"/>
    <xf numFmtId="166" fontId="2" fillId="0" borderId="0" xfId="0" applyNumberFormat="1" applyFont="1" applyFill="1" applyBorder="1" applyAlignment="1" applyProtection="1">
      <alignment horizontal="right"/>
    </xf>
    <xf numFmtId="166" fontId="2" fillId="0" borderId="0" xfId="0" applyNumberFormat="1" applyFont="1" applyFill="1" applyBorder="1" applyProtection="1"/>
    <xf numFmtId="166" fontId="2" fillId="0" borderId="0" xfId="0" applyNumberFormat="1" applyFont="1" applyFill="1" applyBorder="1" applyAlignment="1" applyProtection="1">
      <alignment horizontal="center"/>
    </xf>
    <xf numFmtId="167" fontId="2" fillId="0" borderId="0" xfId="0" applyNumberFormat="1" applyFont="1" applyFill="1" applyBorder="1" applyProtection="1"/>
    <xf numFmtId="165" fontId="16" fillId="4" borderId="1" xfId="0" applyFont="1" applyFill="1" applyBorder="1" applyAlignment="1" applyProtection="1">
      <alignment horizontal="center"/>
    </xf>
    <xf numFmtId="165" fontId="16" fillId="4" borderId="2" xfId="0" applyFont="1" applyFill="1" applyBorder="1" applyAlignment="1" applyProtection="1">
      <alignment horizontal="center"/>
    </xf>
    <xf numFmtId="165" fontId="19" fillId="4" borderId="2" xfId="0" applyFont="1" applyFill="1" applyBorder="1" applyAlignment="1" applyProtection="1">
      <alignment horizontal="center"/>
    </xf>
    <xf numFmtId="166" fontId="16" fillId="4" borderId="2" xfId="0" applyNumberFormat="1" applyFont="1" applyFill="1" applyBorder="1" applyAlignment="1" applyProtection="1">
      <alignment horizontal="center"/>
    </xf>
    <xf numFmtId="165" fontId="3" fillId="4" borderId="0" xfId="0" applyFont="1" applyFill="1" applyAlignment="1" applyProtection="1">
      <alignment horizontal="center"/>
    </xf>
    <xf numFmtId="166" fontId="3" fillId="4" borderId="0" xfId="0" applyNumberFormat="1" applyFont="1" applyFill="1" applyProtection="1"/>
    <xf numFmtId="169" fontId="3" fillId="4" borderId="0" xfId="0" applyNumberFormat="1" applyFont="1" applyFill="1" applyProtection="1"/>
    <xf numFmtId="165" fontId="3" fillId="4" borderId="2" xfId="0" applyFont="1" applyFill="1" applyBorder="1" applyAlignment="1" applyProtection="1">
      <alignment horizontal="center"/>
    </xf>
    <xf numFmtId="166" fontId="3" fillId="4" borderId="2" xfId="0" applyNumberFormat="1" applyFont="1" applyFill="1" applyBorder="1" applyProtection="1"/>
    <xf numFmtId="169" fontId="3" fillId="4" borderId="2" xfId="0" applyNumberFormat="1" applyFont="1" applyFill="1" applyBorder="1" applyProtection="1"/>
    <xf numFmtId="165" fontId="16" fillId="4" borderId="0" xfId="0" applyFont="1" applyFill="1" applyBorder="1" applyAlignment="1" applyProtection="1">
      <alignment horizontal="center"/>
    </xf>
    <xf numFmtId="165" fontId="16" fillId="4" borderId="0" xfId="0" quotePrefix="1" applyFont="1" applyFill="1" applyBorder="1" applyAlignment="1" applyProtection="1">
      <alignment horizontal="center"/>
    </xf>
    <xf numFmtId="165" fontId="18" fillId="4" borderId="2" xfId="0" applyFont="1" applyFill="1" applyBorder="1" applyAlignment="1" applyProtection="1">
      <alignment horizontal="center"/>
    </xf>
    <xf numFmtId="3" fontId="3" fillId="4" borderId="0" xfId="0" applyNumberFormat="1" applyFont="1" applyFill="1" applyProtection="1"/>
    <xf numFmtId="3" fontId="3" fillId="4" borderId="2" xfId="0" applyNumberFormat="1" applyFont="1" applyFill="1" applyBorder="1" applyProtection="1"/>
    <xf numFmtId="166" fontId="16" fillId="4" borderId="0" xfId="0" applyNumberFormat="1" applyFont="1" applyFill="1" applyBorder="1" applyAlignment="1" applyProtection="1">
      <alignment horizontal="center"/>
    </xf>
    <xf numFmtId="167" fontId="3" fillId="4" borderId="0" xfId="0" applyNumberFormat="1" applyFont="1" applyFill="1" applyProtection="1"/>
    <xf numFmtId="167" fontId="3" fillId="4" borderId="2" xfId="0" applyNumberFormat="1" applyFont="1" applyFill="1" applyBorder="1" applyProtection="1"/>
    <xf numFmtId="165" fontId="3" fillId="4" borderId="0" xfId="0" applyFont="1" applyFill="1" applyProtection="1"/>
    <xf numFmtId="165" fontId="3" fillId="4" borderId="2" xfId="0" applyFont="1" applyFill="1" applyBorder="1" applyProtection="1"/>
    <xf numFmtId="165" fontId="23" fillId="4" borderId="2" xfId="0" quotePrefix="1" applyFont="1" applyFill="1" applyBorder="1" applyAlignment="1" applyProtection="1">
      <alignment horizontal="center"/>
    </xf>
    <xf numFmtId="165" fontId="3" fillId="4" borderId="0" xfId="0" applyFont="1" applyFill="1" applyBorder="1" applyAlignment="1" applyProtection="1">
      <alignment horizontal="center"/>
    </xf>
    <xf numFmtId="165" fontId="3" fillId="4" borderId="2" xfId="0" quotePrefix="1" applyFont="1" applyFill="1" applyBorder="1" applyAlignment="1" applyProtection="1">
      <alignment horizontal="center"/>
    </xf>
    <xf numFmtId="165" fontId="31" fillId="0" borderId="0" xfId="0" applyFont="1" applyAlignment="1" applyProtection="1">
      <alignment horizontal="right" vertical="center"/>
    </xf>
    <xf numFmtId="169" fontId="3" fillId="4" borderId="1" xfId="0" applyNumberFormat="1" applyFont="1" applyFill="1" applyBorder="1" applyProtection="1"/>
    <xf numFmtId="169" fontId="3" fillId="4" borderId="0" xfId="0" applyNumberFormat="1" applyFont="1" applyFill="1" applyBorder="1" applyProtection="1"/>
    <xf numFmtId="166" fontId="2" fillId="4" borderId="0" xfId="0" applyNumberFormat="1" applyFont="1" applyFill="1" applyProtection="1"/>
    <xf numFmtId="166" fontId="3" fillId="4" borderId="1" xfId="0" applyNumberFormat="1" applyFont="1" applyFill="1" applyBorder="1" applyProtection="1"/>
    <xf numFmtId="166" fontId="3" fillId="4" borderId="0" xfId="0" applyNumberFormat="1" applyFont="1" applyFill="1" applyBorder="1" applyProtection="1"/>
    <xf numFmtId="169" fontId="2" fillId="4" borderId="1" xfId="0" applyNumberFormat="1" applyFont="1" applyFill="1" applyBorder="1" applyAlignment="1" applyProtection="1">
      <alignment horizontal="right" vertical="center"/>
    </xf>
    <xf numFmtId="169" fontId="2" fillId="4" borderId="0" xfId="0" applyNumberFormat="1" applyFont="1" applyFill="1" applyBorder="1" applyAlignment="1" applyProtection="1">
      <alignment horizontal="right" vertical="center"/>
    </xf>
    <xf numFmtId="169" fontId="2" fillId="4" borderId="2" xfId="0" applyNumberFormat="1" applyFont="1" applyFill="1" applyBorder="1" applyAlignment="1" applyProtection="1">
      <alignment horizontal="right" vertical="center"/>
    </xf>
    <xf numFmtId="166" fontId="3" fillId="0" borderId="0" xfId="0" applyNumberFormat="1" applyFont="1" applyAlignment="1" applyProtection="1">
      <alignment horizontal="left"/>
    </xf>
    <xf numFmtId="2" fontId="3" fillId="4" borderId="0" xfId="1" applyNumberFormat="1" applyFont="1" applyFill="1" applyProtection="1"/>
    <xf numFmtId="165" fontId="2" fillId="0" borderId="0" xfId="0" applyFont="1" applyAlignment="1" applyProtection="1">
      <alignment horizontal="right"/>
    </xf>
    <xf numFmtId="165" fontId="10" fillId="0" borderId="0" xfId="0" applyFont="1" applyAlignment="1">
      <alignment wrapText="1"/>
    </xf>
    <xf numFmtId="165" fontId="9" fillId="0" borderId="0" xfId="0" applyFont="1"/>
    <xf numFmtId="14" fontId="10" fillId="0" borderId="0" xfId="0" applyNumberFormat="1" applyFont="1"/>
    <xf numFmtId="14" fontId="3" fillId="0" borderId="0" xfId="0" applyNumberFormat="1" applyFont="1" applyProtection="1"/>
    <xf numFmtId="165" fontId="0" fillId="0" borderId="0" xfId="0" applyProtection="1"/>
    <xf numFmtId="165" fontId="16" fillId="4" borderId="1" xfId="0" applyFont="1" applyFill="1" applyBorder="1" applyProtection="1"/>
    <xf numFmtId="165" fontId="0" fillId="4" borderId="2" xfId="0" applyFill="1" applyBorder="1" applyProtection="1"/>
    <xf numFmtId="166" fontId="3" fillId="4" borderId="0" xfId="3" applyFont="1" applyFill="1" applyProtection="1"/>
    <xf numFmtId="166" fontId="3" fillId="4" borderId="2" xfId="3" applyFont="1" applyFill="1" applyBorder="1" applyProtection="1"/>
    <xf numFmtId="165" fontId="0" fillId="0" borderId="0" xfId="0" applyFill="1" applyProtection="1"/>
    <xf numFmtId="165" fontId="10" fillId="0" borderId="0" xfId="0" applyFont="1" applyFill="1" applyProtection="1"/>
    <xf numFmtId="165" fontId="10" fillId="0" borderId="0" xfId="0" applyFont="1" applyProtection="1"/>
    <xf numFmtId="0" fontId="2" fillId="0" borderId="0" xfId="0" applyNumberFormat="1" applyFont="1" applyAlignment="1" applyProtection="1">
      <alignment horizontal="right"/>
    </xf>
    <xf numFmtId="165" fontId="15" fillId="0" borderId="0" xfId="0" applyFont="1" applyAlignment="1" applyProtection="1">
      <alignment horizontal="right"/>
    </xf>
    <xf numFmtId="165" fontId="11" fillId="0" borderId="0" xfId="0" applyFont="1" applyProtection="1"/>
    <xf numFmtId="164" fontId="3" fillId="0" borderId="0" xfId="1" applyFont="1" applyFill="1" applyProtection="1"/>
    <xf numFmtId="165" fontId="14" fillId="4" borderId="2" xfId="0" applyFont="1" applyFill="1" applyBorder="1" applyProtection="1"/>
    <xf numFmtId="165" fontId="6" fillId="0" borderId="0" xfId="0" applyFont="1" applyProtection="1"/>
    <xf numFmtId="165" fontId="7" fillId="0" borderId="0" xfId="0" applyFont="1" applyProtection="1"/>
    <xf numFmtId="14" fontId="3" fillId="0" borderId="0" xfId="0" applyNumberFormat="1" applyFont="1" applyFill="1" applyProtection="1"/>
    <xf numFmtId="165" fontId="2" fillId="0" borderId="0" xfId="0" applyFont="1" applyFill="1" applyProtection="1"/>
    <xf numFmtId="165" fontId="2" fillId="0" borderId="0" xfId="0" applyFont="1" applyProtection="1"/>
    <xf numFmtId="165" fontId="22" fillId="0" borderId="0" xfId="0" applyFont="1" applyProtection="1"/>
    <xf numFmtId="165" fontId="16" fillId="4" borderId="0" xfId="0" applyFont="1" applyFill="1" applyBorder="1" applyProtection="1"/>
    <xf numFmtId="164" fontId="22" fillId="0" borderId="0" xfId="1" applyFont="1" applyProtection="1"/>
    <xf numFmtId="171" fontId="32" fillId="0" borderId="0" xfId="9" applyNumberFormat="1" applyFont="1" applyBorder="1" applyProtection="1"/>
    <xf numFmtId="165" fontId="6" fillId="0" borderId="0" xfId="0" applyFont="1" applyFill="1" applyProtection="1"/>
    <xf numFmtId="14" fontId="10" fillId="0" borderId="0" xfId="0" applyNumberFormat="1" applyFont="1" applyAlignment="1">
      <alignment wrapText="1"/>
    </xf>
    <xf numFmtId="165" fontId="10" fillId="0" borderId="0" xfId="0" applyFont="1" applyBorder="1"/>
    <xf numFmtId="172" fontId="0" fillId="0" borderId="0" xfId="0" applyNumberFormat="1" applyBorder="1"/>
    <xf numFmtId="165" fontId="15" fillId="0" borderId="0" xfId="0" applyFont="1" applyBorder="1"/>
    <xf numFmtId="165" fontId="20" fillId="4" borderId="2" xfId="0" applyFont="1" applyFill="1" applyBorder="1" applyAlignment="1" applyProtection="1">
      <alignment horizontal="center"/>
    </xf>
    <xf numFmtId="165" fontId="10" fillId="0" borderId="0" xfId="0" applyFont="1" applyProtection="1">
      <protection hidden="1"/>
    </xf>
    <xf numFmtId="172" fontId="0" fillId="0" borderId="0" xfId="0" applyNumberFormat="1" applyBorder="1" applyProtection="1">
      <protection hidden="1"/>
    </xf>
    <xf numFmtId="0" fontId="9" fillId="0" borderId="0" xfId="5" applyFont="1" applyFill="1" applyAlignment="1">
      <alignment horizontal="center"/>
    </xf>
    <xf numFmtId="0" fontId="10" fillId="0" borderId="0" xfId="5" applyFont="1" applyFill="1" applyAlignment="1">
      <alignment horizontal="left"/>
    </xf>
    <xf numFmtId="0" fontId="33" fillId="0" borderId="0" xfId="6" applyFont="1" applyFill="1" applyAlignment="1" applyProtection="1">
      <alignment horizontal="left"/>
    </xf>
    <xf numFmtId="165" fontId="36" fillId="0" borderId="0" xfId="0" applyFont="1"/>
    <xf numFmtId="165" fontId="37" fillId="0" borderId="0" xfId="0" applyFont="1"/>
    <xf numFmtId="165" fontId="10" fillId="0" borderId="0" xfId="0" applyFont="1" applyBorder="1" applyProtection="1">
      <protection hidden="1"/>
    </xf>
    <xf numFmtId="165" fontId="10" fillId="0" borderId="5" xfId="0" applyFont="1" applyFill="1" applyBorder="1"/>
    <xf numFmtId="165" fontId="10" fillId="0" borderId="7" xfId="0" applyFont="1" applyFill="1" applyBorder="1"/>
    <xf numFmtId="165" fontId="10" fillId="0" borderId="9" xfId="0" applyFont="1" applyFill="1" applyBorder="1" applyAlignment="1">
      <alignment wrapText="1"/>
    </xf>
    <xf numFmtId="172" fontId="10" fillId="0" borderId="0" xfId="0" applyNumberFormat="1" applyFont="1" applyBorder="1"/>
    <xf numFmtId="165" fontId="10" fillId="0" borderId="0" xfId="0" applyFont="1" applyAlignment="1">
      <alignment vertical="top"/>
    </xf>
    <xf numFmtId="165" fontId="10" fillId="0" borderId="0" xfId="0" applyFont="1" applyAlignment="1">
      <alignment vertical="top" wrapText="1"/>
    </xf>
    <xf numFmtId="165" fontId="34" fillId="0" borderId="0" xfId="0" applyFont="1" applyAlignment="1">
      <alignment vertical="top"/>
    </xf>
    <xf numFmtId="165" fontId="9" fillId="0" borderId="0" xfId="10" applyFont="1"/>
    <xf numFmtId="165" fontId="9" fillId="0" borderId="0" xfId="10" applyFont="1" applyAlignment="1" applyProtection="1">
      <alignment horizontal="left"/>
    </xf>
    <xf numFmtId="165" fontId="2" fillId="0" borderId="0" xfId="10" applyFont="1"/>
    <xf numFmtId="165" fontId="22" fillId="0" borderId="0" xfId="10" applyFont="1" applyAlignment="1" applyProtection="1">
      <alignment horizontal="left"/>
    </xf>
    <xf numFmtId="1" fontId="2" fillId="4" borderId="0" xfId="10" applyNumberFormat="1" applyFont="1" applyFill="1" applyBorder="1" applyAlignment="1" applyProtection="1">
      <alignment horizontal="center"/>
      <protection hidden="1"/>
    </xf>
    <xf numFmtId="166" fontId="2" fillId="4" borderId="0" xfId="10" applyNumberFormat="1" applyFont="1" applyFill="1" applyBorder="1" applyProtection="1">
      <protection hidden="1"/>
    </xf>
    <xf numFmtId="165" fontId="2" fillId="4" borderId="0" xfId="10" applyFont="1" applyFill="1" applyAlignment="1" applyProtection="1">
      <alignment horizontal="center"/>
    </xf>
    <xf numFmtId="166" fontId="2" fillId="4" borderId="0" xfId="10" applyNumberFormat="1" applyFont="1" applyFill="1" applyProtection="1"/>
    <xf numFmtId="165" fontId="2" fillId="4" borderId="2" xfId="10" applyFont="1" applyFill="1" applyBorder="1" applyAlignment="1" applyProtection="1">
      <alignment horizontal="center"/>
    </xf>
    <xf numFmtId="166" fontId="2" fillId="4" borderId="2" xfId="10" applyNumberFormat="1" applyFont="1" applyFill="1" applyBorder="1" applyProtection="1"/>
    <xf numFmtId="165" fontId="10" fillId="0" borderId="0" xfId="10" applyFont="1"/>
    <xf numFmtId="1" fontId="2" fillId="4" borderId="2" xfId="10" applyNumberFormat="1" applyFont="1" applyFill="1" applyBorder="1" applyAlignment="1" applyProtection="1">
      <alignment horizontal="center"/>
      <protection hidden="1"/>
    </xf>
    <xf numFmtId="166" fontId="2" fillId="4" borderId="2" xfId="10" applyNumberFormat="1" applyFont="1" applyFill="1" applyBorder="1" applyProtection="1">
      <protection hidden="1"/>
    </xf>
    <xf numFmtId="0" fontId="2" fillId="0" borderId="0" xfId="10" applyNumberFormat="1" applyFont="1" applyAlignment="1">
      <alignment horizontal="right"/>
    </xf>
    <xf numFmtId="168" fontId="2" fillId="4" borderId="0" xfId="10" applyNumberFormat="1" applyFont="1" applyFill="1" applyAlignment="1" applyProtection="1">
      <alignment horizontal="center"/>
    </xf>
    <xf numFmtId="166" fontId="2" fillId="4" borderId="1" xfId="10" applyNumberFormat="1" applyFont="1" applyFill="1" applyBorder="1" applyProtection="1"/>
    <xf numFmtId="166" fontId="2" fillId="4" borderId="0" xfId="10" applyNumberFormat="1" applyFont="1" applyFill="1" applyBorder="1" applyProtection="1"/>
    <xf numFmtId="165" fontId="2" fillId="6" borderId="0" xfId="10" applyFont="1" applyFill="1" applyAlignment="1" applyProtection="1">
      <alignment horizontal="center"/>
    </xf>
    <xf numFmtId="166" fontId="2" fillId="6" borderId="0" xfId="11" applyNumberFormat="1" applyFont="1" applyFill="1" applyProtection="1"/>
    <xf numFmtId="166" fontId="2" fillId="4" borderId="0" xfId="11" applyNumberFormat="1" applyFont="1" applyFill="1" applyProtection="1"/>
    <xf numFmtId="166" fontId="2" fillId="4" borderId="2" xfId="11" applyNumberFormat="1" applyFont="1" applyFill="1" applyBorder="1" applyProtection="1"/>
    <xf numFmtId="168" fontId="2" fillId="4" borderId="2" xfId="10" applyNumberFormat="1" applyFont="1" applyFill="1" applyBorder="1" applyAlignment="1" applyProtection="1">
      <alignment horizontal="center"/>
    </xf>
    <xf numFmtId="167" fontId="3" fillId="4" borderId="1" xfId="0" applyNumberFormat="1" applyFont="1" applyFill="1" applyBorder="1" applyProtection="1"/>
    <xf numFmtId="167" fontId="3" fillId="4" borderId="0" xfId="0" applyNumberFormat="1" applyFont="1" applyFill="1" applyBorder="1" applyProtection="1"/>
    <xf numFmtId="165" fontId="20" fillId="4" borderId="0" xfId="0" applyFont="1" applyFill="1" applyBorder="1" applyAlignment="1" applyProtection="1">
      <alignment horizontal="center"/>
    </xf>
    <xf numFmtId="167" fontId="3" fillId="4" borderId="0" xfId="3" applyNumberFormat="1" applyFont="1" applyFill="1" applyProtection="1"/>
    <xf numFmtId="169" fontId="2" fillId="4" borderId="0" xfId="0" applyNumberFormat="1" applyFont="1" applyFill="1" applyProtection="1"/>
    <xf numFmtId="165" fontId="0" fillId="4" borderId="1" xfId="0" applyFill="1" applyBorder="1"/>
    <xf numFmtId="1" fontId="2" fillId="4" borderId="0" xfId="0" applyNumberFormat="1" applyFont="1" applyFill="1"/>
    <xf numFmtId="173" fontId="2" fillId="4" borderId="0" xfId="0" applyNumberFormat="1" applyFont="1" applyFill="1" applyAlignment="1" applyProtection="1">
      <alignment horizontal="left"/>
    </xf>
    <xf numFmtId="166" fontId="2" fillId="4" borderId="0" xfId="3" applyFont="1" applyFill="1" applyProtection="1">
      <protection locked="0"/>
    </xf>
    <xf numFmtId="3" fontId="2" fillId="4" borderId="2" xfId="0" applyNumberFormat="1" applyFont="1" applyFill="1" applyBorder="1" applyAlignment="1" applyProtection="1">
      <alignment horizontal="right"/>
      <protection locked="0"/>
    </xf>
    <xf numFmtId="167" fontId="2" fillId="4" borderId="2" xfId="3" applyNumberFormat="1" applyFont="1" applyFill="1" applyBorder="1" applyProtection="1">
      <protection locked="0"/>
    </xf>
    <xf numFmtId="165" fontId="9" fillId="0" borderId="0" xfId="0" applyFont="1" applyProtection="1"/>
    <xf numFmtId="165" fontId="9" fillId="0" borderId="0" xfId="0" applyFont="1" applyAlignment="1" applyProtection="1">
      <alignment horizontal="right"/>
    </xf>
    <xf numFmtId="165" fontId="17" fillId="4" borderId="0" xfId="0" applyFont="1" applyFill="1" applyBorder="1" applyAlignment="1" applyProtection="1">
      <alignment horizontal="center"/>
    </xf>
    <xf numFmtId="166" fontId="16" fillId="4" borderId="0" xfId="0" applyNumberFormat="1" applyFont="1" applyFill="1" applyBorder="1" applyProtection="1"/>
    <xf numFmtId="165" fontId="10" fillId="4" borderId="1" xfId="0" applyFont="1" applyFill="1" applyBorder="1" applyProtection="1"/>
    <xf numFmtId="165" fontId="3" fillId="4" borderId="1" xfId="0" applyFont="1" applyFill="1" applyBorder="1" applyProtection="1"/>
    <xf numFmtId="166" fontId="3" fillId="4" borderId="1" xfId="0" applyNumberFormat="1" applyFont="1" applyFill="1" applyBorder="1" applyAlignment="1" applyProtection="1">
      <alignment horizontal="left"/>
    </xf>
    <xf numFmtId="165" fontId="0" fillId="4" borderId="1" xfId="0" applyFill="1" applyBorder="1" applyProtection="1"/>
    <xf numFmtId="165" fontId="16" fillId="4" borderId="2" xfId="0" applyFont="1" applyFill="1" applyBorder="1" applyAlignment="1" applyProtection="1">
      <alignment horizontal="center"/>
    </xf>
    <xf numFmtId="174" fontId="2" fillId="4" borderId="0" xfId="10" applyNumberFormat="1" applyFont="1" applyFill="1" applyProtection="1"/>
    <xf numFmtId="174" fontId="2" fillId="4" borderId="2" xfId="10" applyNumberFormat="1" applyFont="1" applyFill="1" applyBorder="1" applyProtection="1"/>
    <xf numFmtId="166" fontId="2" fillId="4" borderId="1" xfId="10" applyNumberFormat="1" applyFont="1" applyFill="1" applyBorder="1" applyProtection="1">
      <protection hidden="1"/>
    </xf>
    <xf numFmtId="0" fontId="9" fillId="5" borderId="12" xfId="5" applyFont="1" applyFill="1" applyBorder="1" applyAlignment="1">
      <alignment horizontal="center"/>
    </xf>
    <xf numFmtId="0" fontId="9" fillId="5" borderId="13" xfId="5" applyFont="1" applyFill="1" applyBorder="1" applyAlignment="1">
      <alignment horizontal="center"/>
    </xf>
    <xf numFmtId="165" fontId="9" fillId="0" borderId="0" xfId="10" applyFont="1" applyAlignment="1">
      <alignment horizontal="center"/>
    </xf>
    <xf numFmtId="165" fontId="3" fillId="4" borderId="0" xfId="0" applyFont="1" applyFill="1" applyBorder="1" applyProtection="1"/>
    <xf numFmtId="165" fontId="3" fillId="4" borderId="2" xfId="0" applyFont="1" applyFill="1" applyBorder="1" applyAlignment="1" applyProtection="1">
      <alignment horizontal="right"/>
    </xf>
    <xf numFmtId="165" fontId="8" fillId="4" borderId="2" xfId="0" applyFont="1" applyFill="1" applyBorder="1" applyAlignment="1" applyProtection="1">
      <alignment horizontal="center"/>
    </xf>
    <xf numFmtId="165" fontId="5" fillId="4" borderId="2" xfId="0" quotePrefix="1" applyFont="1" applyFill="1" applyBorder="1" applyAlignment="1" applyProtection="1">
      <alignment horizontal="left"/>
    </xf>
    <xf numFmtId="165" fontId="2" fillId="4" borderId="2" xfId="0" quotePrefix="1" applyFont="1" applyFill="1" applyBorder="1" applyAlignment="1" applyProtection="1">
      <alignment horizontal="left"/>
    </xf>
    <xf numFmtId="174" fontId="2" fillId="6" borderId="0" xfId="11" applyNumberFormat="1" applyFont="1" applyFill="1" applyProtection="1"/>
    <xf numFmtId="174" fontId="2" fillId="4" borderId="0" xfId="11" applyNumberFormat="1" applyFont="1" applyFill="1" applyProtection="1"/>
    <xf numFmtId="174" fontId="2" fillId="4" borderId="2" xfId="11" applyNumberFormat="1" applyFont="1" applyFill="1" applyBorder="1" applyProtection="1"/>
    <xf numFmtId="165" fontId="16" fillId="4" borderId="2" xfId="0" applyFont="1" applyFill="1" applyBorder="1" applyAlignment="1" applyProtection="1">
      <alignment horizontal="center"/>
    </xf>
    <xf numFmtId="165" fontId="16" fillId="4" borderId="2" xfId="0" applyFont="1" applyFill="1" applyBorder="1" applyAlignment="1" applyProtection="1">
      <alignment horizontal="center"/>
    </xf>
    <xf numFmtId="165" fontId="0" fillId="0" borderId="2" xfId="0" applyFill="1" applyBorder="1" applyProtection="1"/>
    <xf numFmtId="165" fontId="16" fillId="4" borderId="1" xfId="0" applyFont="1" applyFill="1" applyBorder="1" applyAlignment="1" applyProtection="1">
      <alignment horizontal="center" wrapText="1"/>
    </xf>
    <xf numFmtId="0" fontId="16" fillId="4"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16" fillId="4" borderId="2" xfId="0" applyFont="1" applyFill="1" applyBorder="1" applyAlignment="1" applyProtection="1">
      <alignment horizontal="center"/>
    </xf>
    <xf numFmtId="165" fontId="16" fillId="4" borderId="2" xfId="0" applyFont="1" applyFill="1" applyBorder="1" applyAlignment="1" applyProtection="1">
      <alignment horizontal="center" wrapText="1"/>
    </xf>
    <xf numFmtId="3" fontId="2" fillId="4" borderId="0" xfId="0" applyNumberFormat="1" applyFont="1" applyFill="1" applyAlignment="1" applyProtection="1">
      <alignment horizontal="right"/>
      <protection locked="0"/>
    </xf>
    <xf numFmtId="0" fontId="9" fillId="0" borderId="0" xfId="12" applyFont="1" applyFill="1" applyAlignment="1">
      <alignment horizontal="center"/>
    </xf>
    <xf numFmtId="165" fontId="16" fillId="4" borderId="2" xfId="0" applyFont="1" applyFill="1" applyBorder="1" applyAlignment="1" applyProtection="1">
      <alignment horizontal="center"/>
    </xf>
    <xf numFmtId="165" fontId="10" fillId="0" borderId="7" xfId="0" applyFont="1" applyFill="1" applyBorder="1" applyAlignment="1">
      <alignment wrapText="1"/>
    </xf>
    <xf numFmtId="165" fontId="15" fillId="0" borderId="0" xfId="10" applyFont="1" applyAlignment="1">
      <alignment horizontal="center"/>
    </xf>
    <xf numFmtId="172" fontId="10" fillId="0" borderId="0" xfId="0" applyNumberFormat="1" applyFont="1"/>
    <xf numFmtId="165" fontId="33" fillId="0" borderId="0" xfId="6" applyNumberFormat="1" applyFont="1" applyFill="1" applyAlignment="1" applyProtection="1">
      <protection locked="0"/>
    </xf>
    <xf numFmtId="165" fontId="41" fillId="2" borderId="6" xfId="0" applyFont="1" applyFill="1" applyBorder="1" applyProtection="1">
      <protection locked="0"/>
    </xf>
    <xf numFmtId="165" fontId="41" fillId="2" borderId="8" xfId="0" applyFont="1" applyFill="1" applyBorder="1" applyProtection="1">
      <protection locked="0"/>
    </xf>
    <xf numFmtId="165" fontId="42" fillId="2" borderId="8" xfId="0" applyFont="1" applyFill="1" applyBorder="1" applyProtection="1">
      <protection locked="0"/>
    </xf>
    <xf numFmtId="14" fontId="41" fillId="2" borderId="8" xfId="0" applyNumberFormat="1" applyFont="1" applyFill="1" applyBorder="1" applyAlignment="1" applyProtection="1">
      <alignment horizontal="left"/>
      <protection locked="0"/>
    </xf>
    <xf numFmtId="2" fontId="41" fillId="2" borderId="8" xfId="0" applyNumberFormat="1" applyFont="1" applyFill="1" applyBorder="1" applyAlignment="1" applyProtection="1">
      <alignment horizontal="left"/>
      <protection locked="0"/>
    </xf>
    <xf numFmtId="2" fontId="41" fillId="2" borderId="10" xfId="0" applyNumberFormat="1" applyFont="1" applyFill="1" applyBorder="1" applyAlignment="1" applyProtection="1">
      <alignment horizontal="left"/>
      <protection locked="0"/>
    </xf>
    <xf numFmtId="169" fontId="43" fillId="2" borderId="0" xfId="10" applyNumberFormat="1" applyFont="1" applyFill="1" applyAlignment="1" applyProtection="1">
      <alignment horizontal="right"/>
      <protection locked="0"/>
    </xf>
    <xf numFmtId="169" fontId="43" fillId="2" borderId="2" xfId="10" applyNumberFormat="1" applyFont="1" applyFill="1" applyBorder="1" applyAlignment="1" applyProtection="1">
      <alignment horizontal="right"/>
      <protection locked="0"/>
    </xf>
    <xf numFmtId="3" fontId="43" fillId="2" borderId="0" xfId="0" applyNumberFormat="1" applyFont="1" applyFill="1" applyAlignment="1" applyProtection="1">
      <alignment horizontal="right"/>
      <protection locked="0"/>
    </xf>
    <xf numFmtId="3" fontId="43" fillId="2" borderId="0" xfId="0" applyNumberFormat="1" applyFont="1" applyFill="1" applyProtection="1">
      <protection locked="0"/>
    </xf>
    <xf numFmtId="3" fontId="43" fillId="2" borderId="2" xfId="0" applyNumberFormat="1" applyFont="1" applyFill="1" applyBorder="1" applyAlignment="1" applyProtection="1">
      <alignment horizontal="right"/>
      <protection locked="0"/>
    </xf>
    <xf numFmtId="175" fontId="43" fillId="2" borderId="1" xfId="0" applyNumberFormat="1" applyFont="1" applyFill="1" applyBorder="1" applyProtection="1">
      <protection locked="0"/>
    </xf>
    <xf numFmtId="175" fontId="43" fillId="2" borderId="0" xfId="0" applyNumberFormat="1" applyFont="1" applyFill="1" applyBorder="1" applyProtection="1">
      <protection locked="0"/>
    </xf>
    <xf numFmtId="175" fontId="43" fillId="2" borderId="2" xfId="0" applyNumberFormat="1" applyFont="1" applyFill="1" applyBorder="1" applyProtection="1">
      <protection locked="0"/>
    </xf>
    <xf numFmtId="169" fontId="44" fillId="3" borderId="1" xfId="1" applyNumberFormat="1" applyFont="1" applyFill="1" applyBorder="1" applyProtection="1"/>
    <xf numFmtId="170" fontId="44" fillId="3" borderId="1" xfId="0" applyNumberFormat="1" applyFont="1" applyFill="1" applyBorder="1" applyAlignment="1" applyProtection="1">
      <alignment horizontal="right" vertical="center"/>
    </xf>
    <xf numFmtId="169" fontId="44" fillId="3" borderId="0" xfId="1" applyNumberFormat="1" applyFont="1" applyFill="1" applyBorder="1" applyProtection="1"/>
    <xf numFmtId="170" fontId="44" fillId="3" borderId="0" xfId="0" applyNumberFormat="1" applyFont="1" applyFill="1" applyBorder="1" applyAlignment="1" applyProtection="1">
      <alignment horizontal="right" vertical="center"/>
    </xf>
    <xf numFmtId="169" fontId="44" fillId="3" borderId="2" xfId="1" applyNumberFormat="1" applyFont="1" applyFill="1" applyBorder="1" applyProtection="1"/>
    <xf numFmtId="170" fontId="44" fillId="3" borderId="2" xfId="0" applyNumberFormat="1" applyFont="1" applyFill="1" applyBorder="1" applyAlignment="1" applyProtection="1">
      <alignment horizontal="right" vertical="center"/>
    </xf>
    <xf numFmtId="165" fontId="45" fillId="3" borderId="14" xfId="0" applyNumberFormat="1" applyFont="1" applyFill="1" applyBorder="1" applyAlignment="1" applyProtection="1">
      <alignment horizontal="right" vertical="center"/>
    </xf>
    <xf numFmtId="2" fontId="45" fillId="3" borderId="15" xfId="1" applyNumberFormat="1" applyFont="1" applyFill="1" applyBorder="1" applyProtection="1"/>
    <xf numFmtId="169" fontId="44" fillId="5" borderId="0" xfId="0" applyNumberFormat="1" applyFont="1" applyFill="1" applyProtection="1"/>
    <xf numFmtId="170" fontId="44" fillId="5" borderId="0" xfId="0" applyNumberFormat="1" applyFont="1" applyFill="1" applyProtection="1"/>
    <xf numFmtId="170" fontId="44" fillId="5" borderId="0" xfId="0" applyNumberFormat="1" applyFont="1" applyFill="1" applyBorder="1" applyProtection="1"/>
    <xf numFmtId="165" fontId="47" fillId="3" borderId="14" xfId="0" applyNumberFormat="1" applyFont="1" applyFill="1" applyBorder="1" applyAlignment="1" applyProtection="1">
      <alignment horizontal="right" vertical="center"/>
    </xf>
    <xf numFmtId="165" fontId="15" fillId="4" borderId="11" xfId="10" applyFont="1" applyFill="1" applyBorder="1" applyAlignment="1" applyProtection="1">
      <alignment horizontal="center"/>
      <protection hidden="1"/>
    </xf>
    <xf numFmtId="165" fontId="16" fillId="4" borderId="1" xfId="10" applyFont="1" applyFill="1" applyBorder="1"/>
    <xf numFmtId="165" fontId="16" fillId="4" borderId="1" xfId="10" applyFont="1" applyFill="1" applyBorder="1" applyAlignment="1">
      <alignment horizontal="center"/>
    </xf>
    <xf numFmtId="165" fontId="16" fillId="4" borderId="0" xfId="10" applyFont="1" applyFill="1" applyBorder="1" applyAlignment="1" applyProtection="1">
      <alignment horizontal="center"/>
    </xf>
    <xf numFmtId="165" fontId="16" fillId="4" borderId="0" xfId="10" applyFont="1" applyFill="1" applyBorder="1" applyAlignment="1">
      <alignment horizontal="center"/>
    </xf>
    <xf numFmtId="165" fontId="14" fillId="4" borderId="2" xfId="10" applyFont="1" applyFill="1" applyBorder="1"/>
    <xf numFmtId="166" fontId="16" fillId="4" borderId="0" xfId="10" applyNumberFormat="1" applyFont="1" applyFill="1" applyBorder="1" applyAlignment="1" applyProtection="1">
      <alignment horizontal="center"/>
    </xf>
    <xf numFmtId="165" fontId="18" fillId="4" borderId="11" xfId="10" applyFont="1" applyFill="1" applyBorder="1" applyAlignment="1" applyProtection="1">
      <alignment horizontal="center"/>
    </xf>
    <xf numFmtId="165" fontId="16" fillId="4" borderId="11" xfId="10" applyFont="1" applyFill="1" applyBorder="1" applyAlignment="1" applyProtection="1">
      <alignment horizontal="center"/>
    </xf>
    <xf numFmtId="172" fontId="1" fillId="0" borderId="0" xfId="13" applyNumberFormat="1"/>
    <xf numFmtId="165" fontId="9" fillId="0" borderId="3" xfId="0" applyFont="1" applyBorder="1" applyAlignment="1">
      <alignment horizontal="center"/>
    </xf>
    <xf numFmtId="165" fontId="9" fillId="0" borderId="4" xfId="0" applyFont="1" applyBorder="1" applyAlignment="1">
      <alignment horizontal="center"/>
    </xf>
    <xf numFmtId="165" fontId="16" fillId="4" borderId="1" xfId="0" applyFont="1" applyFill="1" applyBorder="1" applyAlignment="1" applyProtection="1">
      <alignment horizontal="center" wrapText="1"/>
    </xf>
    <xf numFmtId="165" fontId="0" fillId="0" borderId="0" xfId="0" applyAlignment="1">
      <alignment wrapText="1"/>
    </xf>
    <xf numFmtId="165" fontId="0" fillId="0" borderId="2" xfId="0" applyBorder="1" applyAlignment="1">
      <alignment wrapText="1"/>
    </xf>
    <xf numFmtId="165" fontId="0" fillId="0" borderId="0" xfId="0" applyAlignment="1">
      <alignment horizontal="center"/>
    </xf>
    <xf numFmtId="165" fontId="0" fillId="0" borderId="2" xfId="0" applyBorder="1" applyAlignment="1">
      <alignment horizontal="center"/>
    </xf>
    <xf numFmtId="165" fontId="0" fillId="4" borderId="0" xfId="0" applyFill="1" applyAlignment="1">
      <alignment horizontal="center" wrapText="1"/>
    </xf>
    <xf numFmtId="165" fontId="0" fillId="4" borderId="2" xfId="0" applyFill="1" applyBorder="1" applyAlignment="1">
      <alignment horizontal="center" wrapText="1"/>
    </xf>
    <xf numFmtId="165" fontId="43" fillId="2" borderId="0" xfId="0" applyFont="1" applyFill="1" applyAlignment="1" applyProtection="1">
      <alignment horizontal="left"/>
    </xf>
    <xf numFmtId="0" fontId="16" fillId="4"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16" fillId="4" borderId="2" xfId="0" applyFont="1" applyFill="1" applyBorder="1" applyAlignment="1" applyProtection="1">
      <alignment horizontal="center"/>
    </xf>
    <xf numFmtId="165" fontId="2" fillId="4" borderId="2" xfId="0" applyFont="1" applyFill="1" applyBorder="1" applyAlignment="1" applyProtection="1">
      <alignment horizontal="center"/>
    </xf>
    <xf numFmtId="165" fontId="16" fillId="4" borderId="1" xfId="0" applyFont="1" applyFill="1" applyBorder="1" applyAlignment="1">
      <alignment horizontal="center" wrapText="1"/>
    </xf>
    <xf numFmtId="165" fontId="0" fillId="0" borderId="2" xfId="0" applyBorder="1" applyAlignment="1">
      <alignment horizontal="center" wrapText="1"/>
    </xf>
    <xf numFmtId="165" fontId="0" fillId="0" borderId="0" xfId="0" applyBorder="1" applyAlignment="1">
      <alignment wrapText="1"/>
    </xf>
  </cellXfs>
  <cellStyles count="14">
    <cellStyle name="Comma" xfId="1" builtinId="3"/>
    <cellStyle name="Comma 3" xfId="9"/>
    <cellStyle name="Hyperlink" xfId="6" builtinId="8"/>
    <cellStyle name="Normal" xfId="0" builtinId="0"/>
    <cellStyle name="Normal 2" xfId="2"/>
    <cellStyle name="Normal 2 2" xfId="4"/>
    <cellStyle name="Normal 2 3" xfId="7"/>
    <cellStyle name="Normal 2 4" xfId="11"/>
    <cellStyle name="Normal 3" xfId="10"/>
    <cellStyle name="Normal 3 2" xfId="5"/>
    <cellStyle name="Normal 3 2 2" xfId="12"/>
    <cellStyle name="Normal 3 3" xfId="8"/>
    <cellStyle name="Normal 4" xfId="3"/>
    <cellStyle name="Normal 5"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00"/>
      <color rgb="FFC6EFCE"/>
      <color rgb="FFC037C0"/>
      <color rgb="FFFFEB9C"/>
      <color rgb="FF0070C0"/>
      <color rgb="FFD7E6E6"/>
      <color rgb="FFE6E6CF"/>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5401786934536008"/>
        </c:manualLayout>
      </c:layout>
      <c:scatterChart>
        <c:scatterStyle val="lineMarker"/>
        <c:varyColors val="0"/>
        <c:ser>
          <c:idx val="1"/>
          <c:order val="0"/>
          <c:tx>
            <c:strRef>
              <c:f>'Paternal orphanhood'!$H$1</c:f>
              <c:strCache>
                <c:ptCount val="1"/>
                <c:pt idx="0">
                  <c:v>Men</c:v>
                </c:pt>
              </c:strCache>
            </c:strRef>
          </c:tx>
          <c:spPr>
            <a:ln>
              <a:solidFill>
                <a:srgbClr val="0070C0"/>
              </a:solidFill>
            </a:ln>
          </c:spPr>
          <c:marker>
            <c:symbol val="none"/>
          </c:marker>
          <c:xVal>
            <c:numRef>
              <c:f>'Paternal orphanhood'!$K$6:$K$12</c:f>
              <c:numCache>
                <c:formatCode>0.0_)</c:formatCode>
                <c:ptCount val="7"/>
                <c:pt idx="0">
                  <c:v>1994.5391330915063</c:v>
                </c:pt>
                <c:pt idx="1">
                  <c:v>1992.4219666379479</c:v>
                </c:pt>
                <c:pt idx="2">
                  <c:v>1990.485180956078</c:v>
                </c:pt>
                <c:pt idx="3">
                  <c:v>1988.7893881622977</c:v>
                </c:pt>
                <c:pt idx="4">
                  <c:v>1987.3824130285882</c:v>
                </c:pt>
                <c:pt idx="5">
                  <c:v>1986.548259169733</c:v>
                </c:pt>
                <c:pt idx="6">
                  <c:v>#N/A</c:v>
                </c:pt>
              </c:numCache>
            </c:numRef>
          </c:xVal>
          <c:yVal>
            <c:numRef>
              <c:f>'Paternal orphanhood'!$J$6:$J$12</c:f>
              <c:numCache>
                <c:formatCode>0.000_)</c:formatCode>
                <c:ptCount val="7"/>
                <c:pt idx="0">
                  <c:v>0.24988217012727409</c:v>
                </c:pt>
                <c:pt idx="1">
                  <c:v>0.24504562749859193</c:v>
                </c:pt>
                <c:pt idx="2">
                  <c:v>0.248321125987086</c:v>
                </c:pt>
                <c:pt idx="3">
                  <c:v>0.26100253312696242</c:v>
                </c:pt>
                <c:pt idx="4">
                  <c:v>0.27812786112020094</c:v>
                </c:pt>
                <c:pt idx="5">
                  <c:v>0.27352564189677353</c:v>
                </c:pt>
                <c:pt idx="6">
                  <c:v>0.28039546719581965</c:v>
                </c:pt>
              </c:numCache>
            </c:numRef>
          </c:yVal>
          <c:smooth val="0"/>
        </c:ser>
        <c:ser>
          <c:idx val="3"/>
          <c:order val="1"/>
          <c:tx>
            <c:v>Adjusted for AIDS - men</c:v>
          </c:tx>
          <c:spPr>
            <a:ln>
              <a:solidFill>
                <a:schemeClr val="accent1"/>
              </a:solidFill>
              <a:prstDash val="sysDash"/>
            </a:ln>
          </c:spPr>
          <c:marker>
            <c:symbol val="none"/>
          </c:marker>
          <c:xVal>
            <c:numRef>
              <c:f>'Paternal orphanhood'!$K$18:$K$25</c:f>
              <c:numCache>
                <c:formatCode>0.0_)</c:formatCode>
                <c:ptCount val="8"/>
                <c:pt idx="0">
                  <c:v>1994.5318352990034</c:v>
                </c:pt>
                <c:pt idx="1">
                  <c:v>1992.4195033904309</c:v>
                </c:pt>
                <c:pt idx="2">
                  <c:v>1990.485180956078</c:v>
                </c:pt>
                <c:pt idx="3">
                  <c:v>1988.7893881622977</c:v>
                </c:pt>
                <c:pt idx="4">
                  <c:v>1987.3824130285882</c:v>
                </c:pt>
                <c:pt idx="5">
                  <c:v>1986.548259169733</c:v>
                </c:pt>
                <c:pt idx="6">
                  <c:v>#N/A</c:v>
                </c:pt>
              </c:numCache>
            </c:numRef>
          </c:xVal>
          <c:yVal>
            <c:numRef>
              <c:f>'Paternal orphanhood'!$J$18:$J$25</c:f>
              <c:numCache>
                <c:formatCode>0.000_)</c:formatCode>
                <c:ptCount val="8"/>
                <c:pt idx="0">
                  <c:v>0.26439225237031239</c:v>
                </c:pt>
                <c:pt idx="1">
                  <c:v>0.24946488406749368</c:v>
                </c:pt>
                <c:pt idx="2">
                  <c:v>0.248321125987086</c:v>
                </c:pt>
                <c:pt idx="3">
                  <c:v>0.26100253312696242</c:v>
                </c:pt>
                <c:pt idx="4">
                  <c:v>0.27812786112020094</c:v>
                </c:pt>
                <c:pt idx="5">
                  <c:v>0.27352564189677353</c:v>
                </c:pt>
                <c:pt idx="6">
                  <c:v>0.28039546719581965</c:v>
                </c:pt>
              </c:numCache>
            </c:numRef>
          </c:yVal>
          <c:smooth val="0"/>
        </c:ser>
        <c:ser>
          <c:idx val="0"/>
          <c:order val="2"/>
          <c:tx>
            <c:strRef>
              <c:f>'Maternal orphanhood'!$H$1</c:f>
              <c:strCache>
                <c:ptCount val="1"/>
                <c:pt idx="0">
                  <c:v>Women</c:v>
                </c:pt>
              </c:strCache>
            </c:strRef>
          </c:tx>
          <c:spPr>
            <a:ln>
              <a:solidFill>
                <a:srgbClr val="C037C0"/>
              </a:solidFill>
            </a:ln>
          </c:spPr>
          <c:marker>
            <c:symbol val="none"/>
          </c:marker>
          <c:xVal>
            <c:numRef>
              <c:f>'Maternal orphanhood'!$K$6:$K$14</c:f>
              <c:numCache>
                <c:formatCode>0.0_)</c:formatCode>
                <c:ptCount val="9"/>
                <c:pt idx="0">
                  <c:v>1996.0496992155652</c:v>
                </c:pt>
                <c:pt idx="1">
                  <c:v>1993.8575152731441</c:v>
                </c:pt>
                <c:pt idx="2">
                  <c:v>1991.8555174802964</c:v>
                </c:pt>
                <c:pt idx="3">
                  <c:v>1990.0910719402166</c:v>
                </c:pt>
                <c:pt idx="4">
                  <c:v>1988.6229215950241</c:v>
                </c:pt>
                <c:pt idx="5">
                  <c:v>1987.4528179565168</c:v>
                </c:pt>
                <c:pt idx="6">
                  <c:v>1986.8665306176206</c:v>
                </c:pt>
                <c:pt idx="7">
                  <c:v>#N/A</c:v>
                </c:pt>
                <c:pt idx="8">
                  <c:v>#N/A</c:v>
                </c:pt>
              </c:numCache>
            </c:numRef>
          </c:xVal>
          <c:yVal>
            <c:numRef>
              <c:f>'Maternal orphanhood'!$J$6:$J$14</c:f>
              <c:numCache>
                <c:formatCode>0.000_)</c:formatCode>
                <c:ptCount val="9"/>
                <c:pt idx="0">
                  <c:v>0.12527097033039813</c:v>
                </c:pt>
                <c:pt idx="1">
                  <c:v>0.12934763591426501</c:v>
                </c:pt>
                <c:pt idx="2">
                  <c:v>0.14483696206549845</c:v>
                </c:pt>
                <c:pt idx="3">
                  <c:v>0.14941049607132573</c:v>
                </c:pt>
                <c:pt idx="4">
                  <c:v>0.14507465142304998</c:v>
                </c:pt>
                <c:pt idx="5">
                  <c:v>0.14668204040311761</c:v>
                </c:pt>
                <c:pt idx="6">
                  <c:v>0.1306078608925183</c:v>
                </c:pt>
                <c:pt idx="7">
                  <c:v>0.12766823822270257</c:v>
                </c:pt>
                <c:pt idx="8">
                  <c:v>0.1096686097000813</c:v>
                </c:pt>
              </c:numCache>
            </c:numRef>
          </c:yVal>
          <c:smooth val="0"/>
        </c:ser>
        <c:ser>
          <c:idx val="2"/>
          <c:order val="3"/>
          <c:tx>
            <c:v>Adjusted for AIDS - women</c:v>
          </c:tx>
          <c:spPr>
            <a:ln>
              <a:solidFill>
                <a:srgbClr val="C037C0"/>
              </a:solidFill>
              <a:prstDash val="sysDash"/>
            </a:ln>
          </c:spPr>
          <c:marker>
            <c:symbol val="none"/>
          </c:marker>
          <c:xVal>
            <c:numRef>
              <c:f>'Maternal orphanhood'!$K$19:$K$27</c:f>
              <c:numCache>
                <c:formatCode>0.0_)</c:formatCode>
                <c:ptCount val="9"/>
                <c:pt idx="0">
                  <c:v>1996.0208676244015</c:v>
                </c:pt>
                <c:pt idx="1">
                  <c:v>1993.8471072581578</c:v>
                </c:pt>
                <c:pt idx="2">
                  <c:v>1991.8555174802964</c:v>
                </c:pt>
                <c:pt idx="3">
                  <c:v>1990.0910719402166</c:v>
                </c:pt>
                <c:pt idx="4">
                  <c:v>1988.6229215950241</c:v>
                </c:pt>
                <c:pt idx="5">
                  <c:v>1987.4528179565168</c:v>
                </c:pt>
                <c:pt idx="6">
                  <c:v>1986.8665306176206</c:v>
                </c:pt>
                <c:pt idx="7">
                  <c:v>#N/A</c:v>
                </c:pt>
                <c:pt idx="8">
                  <c:v>#N/A</c:v>
                </c:pt>
              </c:numCache>
            </c:numRef>
          </c:xVal>
          <c:yVal>
            <c:numRef>
              <c:f>'Maternal orphanhood'!$J$19:$J$27</c:f>
              <c:numCache>
                <c:formatCode>0.000_)</c:formatCode>
                <c:ptCount val="9"/>
                <c:pt idx="0">
                  <c:v>0.29145842842538505</c:v>
                </c:pt>
                <c:pt idx="1">
                  <c:v>0.14178039014430976</c:v>
                </c:pt>
                <c:pt idx="2">
                  <c:v>0.14483696206549845</c:v>
                </c:pt>
                <c:pt idx="3">
                  <c:v>0.14941049607132573</c:v>
                </c:pt>
                <c:pt idx="4">
                  <c:v>0.14507465142304998</c:v>
                </c:pt>
                <c:pt idx="5">
                  <c:v>0.14668204040311761</c:v>
                </c:pt>
                <c:pt idx="6">
                  <c:v>0.1306078608925183</c:v>
                </c:pt>
                <c:pt idx="7">
                  <c:v>0.12766823822270257</c:v>
                </c:pt>
                <c:pt idx="8">
                  <c:v>0.1096686097000813</c:v>
                </c:pt>
              </c:numCache>
            </c:numRef>
          </c:yVal>
          <c:smooth val="0"/>
        </c:ser>
        <c:dLbls>
          <c:showLegendKey val="0"/>
          <c:showVal val="0"/>
          <c:showCatName val="0"/>
          <c:showSerName val="0"/>
          <c:showPercent val="0"/>
          <c:showBubbleSize val="0"/>
        </c:dLbls>
        <c:axId val="310734320"/>
        <c:axId val="310734880"/>
      </c:scatterChart>
      <c:valAx>
        <c:axId val="310734320"/>
        <c:scaling>
          <c:orientation val="minMax"/>
        </c:scaling>
        <c:delete val="0"/>
        <c:axPos val="b"/>
        <c:title>
          <c:tx>
            <c:rich>
              <a:bodyPr/>
              <a:lstStyle/>
              <a:p>
                <a:pPr>
                  <a:defRPr/>
                </a:pPr>
                <a:r>
                  <a:rPr lang="en-GB"/>
                  <a:t>Date</a:t>
                </a:r>
              </a:p>
            </c:rich>
          </c:tx>
          <c:layout>
            <c:manualLayout>
              <c:xMode val="edge"/>
              <c:yMode val="edge"/>
              <c:x val="0.49514012071938901"/>
              <c:y val="0.86200167418341433"/>
            </c:manualLayout>
          </c:layout>
          <c:overlay val="0"/>
        </c:title>
        <c:numFmt formatCode="0" sourceLinked="0"/>
        <c:majorTickMark val="out"/>
        <c:minorTickMark val="none"/>
        <c:tickLblPos val="low"/>
        <c:spPr>
          <a:ln>
            <a:solidFill>
              <a:schemeClr val="tx1">
                <a:lumMod val="65000"/>
                <a:lumOff val="35000"/>
              </a:schemeClr>
            </a:solidFill>
          </a:ln>
        </c:spPr>
        <c:crossAx val="310734880"/>
        <c:crossesAt val="-1"/>
        <c:crossBetween val="midCat"/>
      </c:valAx>
      <c:valAx>
        <c:axId val="310734880"/>
        <c:scaling>
          <c:orientation val="minMax"/>
        </c:scaling>
        <c:delete val="0"/>
        <c:axPos val="l"/>
        <c:majorGridlines>
          <c:spPr>
            <a:ln>
              <a:solidFill>
                <a:schemeClr val="bg1">
                  <a:lumMod val="75000"/>
                </a:schemeClr>
              </a:solidFill>
            </a:ln>
          </c:spPr>
        </c:majorGridlines>
        <c:title>
          <c:tx>
            <c:rich>
              <a:bodyPr rot="-5400000" vert="horz" anchor="ctr" anchorCtr="0"/>
              <a:lstStyle/>
              <a:p>
                <a:pPr algn="l">
                  <a:defRPr i="1" baseline="0"/>
                </a:pPr>
                <a:r>
                  <a:rPr lang="en-US" baseline="-25000"/>
                  <a:t>30</a:t>
                </a:r>
                <a:r>
                  <a:rPr lang="en-US"/>
                  <a:t>q</a:t>
                </a:r>
                <a:r>
                  <a:rPr lang="en-US" baseline="-25000"/>
                  <a:t>30</a:t>
                </a:r>
                <a:endParaRPr lang="en-US"/>
              </a:p>
            </c:rich>
          </c:tx>
          <c:layout>
            <c:manualLayout>
              <c:xMode val="edge"/>
              <c:yMode val="edge"/>
              <c:x val="9.1821672004598828E-3"/>
              <c:y val="0.39137590542572337"/>
            </c:manualLayout>
          </c:layout>
          <c:overlay val="0"/>
        </c:title>
        <c:numFmt formatCode="#,##0.0" sourceLinked="0"/>
        <c:majorTickMark val="out"/>
        <c:minorTickMark val="none"/>
        <c:tickLblPos val="nextTo"/>
        <c:spPr>
          <a:ln>
            <a:solidFill>
              <a:schemeClr val="tx1">
                <a:lumMod val="65000"/>
                <a:lumOff val="35000"/>
              </a:schemeClr>
            </a:solidFill>
          </a:ln>
        </c:spPr>
        <c:crossAx val="310734320"/>
        <c:crosses val="autoZero"/>
        <c:crossBetween val="midCat"/>
        <c:majorUnit val="0.1"/>
      </c:valAx>
      <c:spPr>
        <a:solidFill>
          <a:schemeClr val="bg1"/>
        </a:solidFill>
        <a:ln w="6350"/>
      </c:spPr>
    </c:plotArea>
    <c:legend>
      <c:legendPos val="b"/>
      <c:layout>
        <c:manualLayout>
          <c:xMode val="edge"/>
          <c:yMode val="edge"/>
          <c:x val="0.17364139361090591"/>
          <c:y val="0.91022550225502263"/>
          <c:w val="0.70486460129752804"/>
          <c:h val="7.6756867568675682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746" l="0.70866141732284083" r="0.70866141732284083" t="0.74803149606299746" header="0.31496062992126483" footer="0.31496062992126483"/>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22225</xdr:rowOff>
    </xdr:from>
    <xdr:to>
      <xdr:col>12</xdr:col>
      <xdr:colOff>607125</xdr:colOff>
      <xdr:row>30</xdr:row>
      <xdr:rowOff>160825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ynthetic%20orphanhood%20method%20Keny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user/?destination=content/orphanhood"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66"/>
  <sheetViews>
    <sheetView showGridLines="0" showRowColHeaders="0" tabSelected="1" zoomScaleNormal="100" workbookViewId="0">
      <selection activeCell="D10" sqref="D10"/>
    </sheetView>
  </sheetViews>
  <sheetFormatPr defaultRowHeight="15"/>
  <cols>
    <col min="1" max="1" width="4" style="5" customWidth="1"/>
    <col min="2" max="2" width="68.21875" style="5" customWidth="1"/>
    <col min="3" max="3" width="22.109375" style="5" customWidth="1"/>
    <col min="4" max="4" width="13.33203125" style="5" customWidth="1"/>
    <col min="5" max="5" width="11.109375" style="5" customWidth="1"/>
    <col min="6" max="6" width="11.5546875" style="5" customWidth="1"/>
    <col min="7" max="7" width="10.88671875" style="5" customWidth="1"/>
    <col min="8" max="16384" width="8.88671875" style="5"/>
  </cols>
  <sheetData>
    <row r="1" spans="1:4" ht="15.75">
      <c r="B1" s="149" t="s">
        <v>120</v>
      </c>
    </row>
    <row r="2" spans="1:4" ht="15.75">
      <c r="B2" s="150" t="s">
        <v>119</v>
      </c>
      <c r="C2" s="95" t="s">
        <v>88</v>
      </c>
    </row>
    <row r="3" spans="1:4" s="16" customFormat="1" ht="15.75">
      <c r="B3" s="91"/>
    </row>
    <row r="4" spans="1:4" s="16" customFormat="1" ht="15" customHeight="1">
      <c r="B4" s="92" t="s">
        <v>89</v>
      </c>
    </row>
    <row r="5" spans="1:4" s="16" customFormat="1">
      <c r="B5" s="174" t="s">
        <v>142</v>
      </c>
      <c r="C5" s="93"/>
    </row>
    <row r="6" spans="1:4" s="57" customFormat="1" ht="15.75" customHeight="1">
      <c r="B6" s="169"/>
      <c r="C6" s="16"/>
      <c r="D6" s="5"/>
    </row>
    <row r="7" spans="1:4" ht="105.75" customHeight="1">
      <c r="B7" s="57" t="s">
        <v>130</v>
      </c>
      <c r="C7" s="57"/>
      <c r="D7" s="57"/>
    </row>
    <row r="8" spans="1:4" ht="15.75" thickBot="1"/>
    <row r="9" spans="1:4" ht="16.5" thickBot="1">
      <c r="B9" s="58" t="s">
        <v>79</v>
      </c>
      <c r="C9" s="211" t="s">
        <v>86</v>
      </c>
      <c r="D9" s="212"/>
    </row>
    <row r="10" spans="1:4" ht="15.75" customHeight="1">
      <c r="A10" s="101" t="s">
        <v>90</v>
      </c>
      <c r="B10" s="57" t="s">
        <v>99</v>
      </c>
      <c r="C10" s="97" t="s">
        <v>83</v>
      </c>
      <c r="D10" s="175" t="s">
        <v>32</v>
      </c>
    </row>
    <row r="11" spans="1:4" ht="31.5" customHeight="1">
      <c r="A11" s="101" t="s">
        <v>91</v>
      </c>
      <c r="B11" s="57" t="s">
        <v>100</v>
      </c>
      <c r="C11" s="98" t="s">
        <v>82</v>
      </c>
      <c r="D11" s="176" t="s">
        <v>137</v>
      </c>
    </row>
    <row r="12" spans="1:4" ht="31.5" customHeight="1">
      <c r="A12" s="101" t="s">
        <v>92</v>
      </c>
      <c r="B12" s="57" t="s">
        <v>101</v>
      </c>
      <c r="C12" s="98" t="s">
        <v>81</v>
      </c>
      <c r="D12" s="177" t="s">
        <v>121</v>
      </c>
    </row>
    <row r="13" spans="1:4" ht="31.5" customHeight="1">
      <c r="A13" s="101" t="s">
        <v>93</v>
      </c>
      <c r="B13" s="57" t="s">
        <v>146</v>
      </c>
      <c r="C13" s="171" t="s">
        <v>80</v>
      </c>
      <c r="D13" s="178">
        <v>36396</v>
      </c>
    </row>
    <row r="14" spans="1:4" ht="15" customHeight="1">
      <c r="A14" s="101" t="s">
        <v>94</v>
      </c>
      <c r="B14" s="57" t="s">
        <v>143</v>
      </c>
      <c r="C14" s="171" t="s">
        <v>134</v>
      </c>
      <c r="D14" s="179">
        <f>1/3</f>
        <v>0.33333333333333331</v>
      </c>
    </row>
    <row r="15" spans="1:4" ht="15" customHeight="1">
      <c r="A15" s="101" t="s">
        <v>96</v>
      </c>
      <c r="B15" s="57" t="s">
        <v>144</v>
      </c>
      <c r="C15" s="171" t="s">
        <v>135</v>
      </c>
      <c r="D15" s="179">
        <v>0.75</v>
      </c>
    </row>
    <row r="16" spans="1:4" ht="15" customHeight="1" thickBot="1">
      <c r="A16" s="101" t="s">
        <v>97</v>
      </c>
      <c r="B16" s="57" t="s">
        <v>145</v>
      </c>
      <c r="C16" s="99" t="s">
        <v>136</v>
      </c>
      <c r="D16" s="180">
        <v>0.5</v>
      </c>
    </row>
    <row r="17" spans="1:4" s="57" customFormat="1" ht="63" customHeight="1">
      <c r="A17" s="102" t="s">
        <v>98</v>
      </c>
      <c r="B17" s="57" t="s">
        <v>124</v>
      </c>
      <c r="D17" s="59"/>
    </row>
    <row r="18" spans="1:4" ht="47.25" customHeight="1">
      <c r="A18" s="103" t="s">
        <v>95</v>
      </c>
      <c r="B18" s="102" t="s">
        <v>125</v>
      </c>
      <c r="C18" s="57"/>
      <c r="D18" s="84"/>
    </row>
    <row r="19" spans="1:4" ht="63" customHeight="1">
      <c r="A19" s="101" t="s">
        <v>131</v>
      </c>
      <c r="B19" s="57" t="s">
        <v>126</v>
      </c>
      <c r="C19" s="57"/>
    </row>
    <row r="20" spans="1:4" ht="47.25" customHeight="1">
      <c r="A20" s="103" t="s">
        <v>95</v>
      </c>
      <c r="B20" s="102" t="s">
        <v>127</v>
      </c>
    </row>
    <row r="21" spans="1:4" ht="63" customHeight="1">
      <c r="A21" s="101" t="s">
        <v>132</v>
      </c>
      <c r="B21" s="57" t="s">
        <v>128</v>
      </c>
    </row>
    <row r="22" spans="1:4" ht="94.5" customHeight="1">
      <c r="A22" s="101" t="s">
        <v>133</v>
      </c>
      <c r="B22" s="57" t="s">
        <v>129</v>
      </c>
    </row>
    <row r="24" spans="1:4">
      <c r="B24" s="94"/>
    </row>
    <row r="46" spans="2:8">
      <c r="C46" s="85"/>
      <c r="D46" s="85"/>
      <c r="E46" s="96"/>
      <c r="F46" s="96"/>
      <c r="G46" s="96"/>
      <c r="H46" s="85"/>
    </row>
    <row r="47" spans="2:8" ht="15.75">
      <c r="B47" s="89"/>
      <c r="H47" s="87"/>
    </row>
    <row r="48" spans="2:8">
      <c r="B48" s="89"/>
      <c r="H48" s="85"/>
    </row>
    <row r="49" spans="2:8">
      <c r="B49" s="89"/>
      <c r="H49" s="85"/>
    </row>
    <row r="50" spans="2:8">
      <c r="B50" s="89"/>
      <c r="H50" s="85"/>
    </row>
    <row r="51" spans="2:8">
      <c r="B51" s="89"/>
      <c r="H51" s="85"/>
    </row>
    <row r="52" spans="2:8">
      <c r="B52" s="89"/>
      <c r="H52" s="85"/>
    </row>
    <row r="53" spans="2:8">
      <c r="B53" s="89"/>
      <c r="H53" s="85"/>
    </row>
    <row r="54" spans="2:8">
      <c r="B54" s="89"/>
      <c r="H54" s="85"/>
    </row>
    <row r="55" spans="2:8">
      <c r="B55" s="89"/>
      <c r="H55" s="85"/>
    </row>
    <row r="56" spans="2:8">
      <c r="B56" s="89"/>
      <c r="H56" s="85"/>
    </row>
    <row r="57" spans="2:8">
      <c r="B57" s="89"/>
      <c r="H57" s="85"/>
    </row>
    <row r="58" spans="2:8">
      <c r="B58" s="89"/>
      <c r="H58" s="85"/>
    </row>
    <row r="59" spans="2:8">
      <c r="B59" s="89"/>
      <c r="H59" s="85"/>
    </row>
    <row r="60" spans="2:8">
      <c r="B60" s="89"/>
      <c r="H60" s="85"/>
    </row>
    <row r="61" spans="2:8">
      <c r="B61" s="89"/>
      <c r="H61" s="85"/>
    </row>
    <row r="62" spans="2:8">
      <c r="B62" s="89"/>
      <c r="H62" s="85"/>
    </row>
    <row r="63" spans="2:8">
      <c r="B63" s="89"/>
      <c r="C63" s="96"/>
      <c r="D63" s="96"/>
      <c r="E63" s="90"/>
      <c r="F63" s="90"/>
      <c r="G63" s="96"/>
      <c r="H63" s="85"/>
    </row>
    <row r="64" spans="2:8">
      <c r="B64" s="89"/>
      <c r="E64" s="100"/>
      <c r="F64" s="86"/>
    </row>
    <row r="65" spans="5:6">
      <c r="E65" s="100"/>
      <c r="F65" s="86"/>
    </row>
    <row r="66" spans="5:6">
      <c r="E66" s="85"/>
      <c r="F66" s="85"/>
    </row>
  </sheetData>
  <sheetProtection sheet="1" objects="1" scenarios="1" selectLockedCells="1"/>
  <mergeCells count="1">
    <mergeCell ref="C9:D9"/>
  </mergeCells>
  <dataValidations count="7">
    <dataValidation type="list" allowBlank="1" showInputMessage="1" showErrorMessage="1" promptTitle="Select mortality index" sqref="D12">
      <formula1>"45q15,30q30"</formula1>
    </dataValidation>
    <dataValidation type="list" showInputMessage="1" showErrorMessage="1" sqref="D11">
      <formula1>"UN General,Princeton East,Princeton North,Princeton South,Princeton West,AIDS,Other"</formula1>
    </dataValidation>
    <dataValidation type="date" operator="greaterThan" allowBlank="1" showInputMessage="1" showErrorMessage="1" promptTitle="Date input" prompt="Please input the date using the default date format on your computer." sqref="D13">
      <formula1>1</formula1>
    </dataValidation>
    <dataValidation type="decimal" allowBlank="1" showInputMessage="1" showErrorMessage="1" sqref="D14">
      <formula1>0</formula1>
      <formula2>0.5</formula2>
    </dataValidation>
    <dataValidation type="decimal" allowBlank="1" showInputMessage="1" showErrorMessage="1" sqref="D15">
      <formula1>0</formula1>
      <formula2>0.75</formula2>
    </dataValidation>
    <dataValidation type="decimal" allowBlank="1" showInputMessage="1" showErrorMessage="1" sqref="D16">
      <formula1>0</formula1>
      <formula2>1</formula2>
    </dataValidation>
    <dataValidation type="list" showDropDown="1" showInputMessage="1" showErrorMessage="1" sqref="B5">
      <formula1>"http://demographicestimation.iussp.org/user/?destination=content/orphanhood"</formula1>
    </dataValidation>
  </dataValidations>
  <hyperlinks>
    <hyperlink ref="B5" r:id="rId1"/>
  </hyperlinks>
  <pageMargins left="0.70866141732283472" right="0.70866141732283472" top="0.74803149606299213" bottom="0.74803149606299213" header="0.31496062992125984" footer="0.31496062992125984"/>
  <pageSetup paperSize="9" scale="71" fitToHeight="0" orientation="portrait" r:id="rId2"/>
  <headerFooter>
    <oddHeader>&amp;L&amp;"+,Bold"&amp;14Tools for Demographic Estimation&amp;R&amp;"+,Bold"&amp;14Orphanhood</oddHeader>
    <oddFooter>&amp;L&amp;"+,Regular"&amp;F&amp;R&amp;"+,Regular"&amp;D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O38"/>
  <sheetViews>
    <sheetView workbookViewId="0">
      <selection activeCell="B24" sqref="B24"/>
    </sheetView>
  </sheetViews>
  <sheetFormatPr defaultRowHeight="15"/>
  <cols>
    <col min="1" max="1" width="8.88671875" style="114"/>
    <col min="2" max="9" width="11.33203125" style="114" customWidth="1"/>
    <col min="10" max="10" width="3.5546875" style="114" customWidth="1"/>
    <col min="11" max="16384" width="8.88671875" style="114"/>
  </cols>
  <sheetData>
    <row r="1" spans="1:14" ht="18.75">
      <c r="A1" s="104" t="s">
        <v>111</v>
      </c>
      <c r="G1" s="172" t="s">
        <v>138</v>
      </c>
      <c r="H1" s="172" t="s">
        <v>157</v>
      </c>
      <c r="I1" s="151"/>
      <c r="K1" s="105" t="s">
        <v>102</v>
      </c>
      <c r="L1" s="106"/>
      <c r="M1" s="106"/>
      <c r="N1" s="106"/>
    </row>
    <row r="2" spans="1:14" ht="15.75">
      <c r="A2" s="201" t="s">
        <v>0</v>
      </c>
      <c r="B2" s="201" t="s">
        <v>69</v>
      </c>
      <c r="C2" s="201" t="s">
        <v>103</v>
      </c>
      <c r="D2" s="201" t="s">
        <v>104</v>
      </c>
      <c r="E2" s="201" t="s">
        <v>105</v>
      </c>
      <c r="F2" s="201" t="s">
        <v>106</v>
      </c>
      <c r="G2" s="201" t="s">
        <v>137</v>
      </c>
      <c r="H2" s="201" t="s">
        <v>137</v>
      </c>
      <c r="I2" s="201" t="s">
        <v>123</v>
      </c>
      <c r="K2" s="107" t="s">
        <v>107</v>
      </c>
      <c r="L2" s="106"/>
      <c r="M2" s="106"/>
      <c r="N2" s="106"/>
    </row>
    <row r="3" spans="1:14" ht="16.5">
      <c r="A3" s="108">
        <v>15</v>
      </c>
      <c r="B3" s="109">
        <v>-1.0121945536850769</v>
      </c>
      <c r="C3" s="109">
        <v>-0.97971406825728613</v>
      </c>
      <c r="D3" s="109">
        <v>-0.96635456814626275</v>
      </c>
      <c r="E3" s="109">
        <v>-0.88990310948808893</v>
      </c>
      <c r="F3" s="109">
        <v>-1.0293119689456429</v>
      </c>
      <c r="G3" s="148">
        <v>-0.70939487473677565</v>
      </c>
      <c r="H3" s="148">
        <v>-1.0190362906620025</v>
      </c>
      <c r="I3" s="181"/>
      <c r="K3" s="208" t="s">
        <v>17</v>
      </c>
      <c r="L3" s="209" t="s">
        <v>153</v>
      </c>
      <c r="M3" s="209" t="s">
        <v>154</v>
      </c>
      <c r="N3" s="209" t="s">
        <v>155</v>
      </c>
    </row>
    <row r="4" spans="1:14">
      <c r="A4" s="108">
        <v>20</v>
      </c>
      <c r="B4" s="109">
        <v>-0.97234684182353803</v>
      </c>
      <c r="C4" s="109">
        <v>-0.94156371692343144</v>
      </c>
      <c r="D4" s="109">
        <v>-0.91382222014342573</v>
      </c>
      <c r="E4" s="109">
        <v>-0.85999289910331278</v>
      </c>
      <c r="F4" s="109">
        <v>-0.97893414503700538</v>
      </c>
      <c r="G4" s="109">
        <v>-0.68063365699059852</v>
      </c>
      <c r="H4" s="109">
        <v>-0.90868722106918232</v>
      </c>
      <c r="I4" s="181"/>
      <c r="K4" s="110" t="s">
        <v>18</v>
      </c>
      <c r="L4" s="111">
        <v>-0.28939999999999999</v>
      </c>
      <c r="M4" s="146">
        <v>1.25E-3</v>
      </c>
      <c r="N4" s="111">
        <v>1.2559</v>
      </c>
    </row>
    <row r="5" spans="1:14">
      <c r="A5" s="108">
        <v>25</v>
      </c>
      <c r="B5" s="109">
        <v>-0.92078751270821413</v>
      </c>
      <c r="C5" s="109">
        <v>-0.89159541950333177</v>
      </c>
      <c r="D5" s="109">
        <v>-0.85013265027358209</v>
      </c>
      <c r="E5" s="109">
        <v>-0.82016153698599226</v>
      </c>
      <c r="F5" s="109">
        <v>-0.91633966970304337</v>
      </c>
      <c r="G5" s="109">
        <v>-0.63663610554231309</v>
      </c>
      <c r="H5" s="109">
        <v>-0.74909520239224869</v>
      </c>
      <c r="I5" s="181"/>
      <c r="K5" s="110" t="s">
        <v>19</v>
      </c>
      <c r="L5" s="111">
        <v>-0.17180000000000001</v>
      </c>
      <c r="M5" s="146">
        <v>2.2200000000000002E-3</v>
      </c>
      <c r="N5" s="111">
        <v>1.1123000000000001</v>
      </c>
    </row>
    <row r="6" spans="1:14">
      <c r="A6" s="108">
        <v>30</v>
      </c>
      <c r="B6" s="109">
        <v>-0.86548423243967132</v>
      </c>
      <c r="C6" s="109">
        <v>-0.84219551169775642</v>
      </c>
      <c r="D6" s="109">
        <v>-0.78726242697886062</v>
      </c>
      <c r="E6" s="109">
        <v>-0.78007392332133241</v>
      </c>
      <c r="F6" s="109">
        <v>-0.85459253778955946</v>
      </c>
      <c r="G6" s="109">
        <v>-0.55864801282680754</v>
      </c>
      <c r="H6" s="109">
        <v>-0.5976638264287264</v>
      </c>
      <c r="I6" s="181"/>
      <c r="K6" s="110" t="s">
        <v>20</v>
      </c>
      <c r="L6" s="111">
        <v>-0.15129999999999999</v>
      </c>
      <c r="M6" s="146">
        <v>3.7200000000000002E-3</v>
      </c>
      <c r="N6" s="111">
        <v>1.0525</v>
      </c>
    </row>
    <row r="7" spans="1:14">
      <c r="A7" s="108">
        <v>35</v>
      </c>
      <c r="B7" s="109">
        <v>-0.80533674084601314</v>
      </c>
      <c r="C7" s="109">
        <v>-0.79104803230330434</v>
      </c>
      <c r="D7" s="109">
        <v>-0.72474545944961821</v>
      </c>
      <c r="E7" s="109">
        <v>-0.73709896740170688</v>
      </c>
      <c r="F7" s="109">
        <v>-0.79123192333414838</v>
      </c>
      <c r="G7" s="109">
        <v>-0.44823740874019735</v>
      </c>
      <c r="H7" s="109">
        <v>-0.48388709423556725</v>
      </c>
      <c r="I7" s="181"/>
      <c r="K7" s="110" t="s">
        <v>21</v>
      </c>
      <c r="L7" s="111">
        <v>-0.18079999999999999</v>
      </c>
      <c r="M7" s="146">
        <v>5.8599999999999998E-3</v>
      </c>
      <c r="N7" s="111">
        <v>1.0266999999999999</v>
      </c>
    </row>
    <row r="8" spans="1:14">
      <c r="A8" s="108">
        <v>40</v>
      </c>
      <c r="B8" s="109">
        <v>-0.73732521540819196</v>
      </c>
      <c r="C8" s="109">
        <v>-0.73425391825061403</v>
      </c>
      <c r="D8" s="109">
        <v>-0.66077403595339856</v>
      </c>
      <c r="E8" s="109">
        <v>-0.69020740216054988</v>
      </c>
      <c r="F8" s="109">
        <v>-0.72290929940989257</v>
      </c>
      <c r="G8" s="109">
        <v>-0.33308729649040303</v>
      </c>
      <c r="H8" s="109">
        <v>-0.40309179245798843</v>
      </c>
      <c r="I8" s="181"/>
      <c r="K8" s="110" t="s">
        <v>22</v>
      </c>
      <c r="L8" s="111">
        <v>-0.25109999999999999</v>
      </c>
      <c r="M8" s="146">
        <v>8.8500000000000002E-3</v>
      </c>
      <c r="N8" s="111">
        <v>1.0219</v>
      </c>
    </row>
    <row r="9" spans="1:14">
      <c r="A9" s="108">
        <v>45</v>
      </c>
      <c r="B9" s="109">
        <v>-0.65863624320988345</v>
      </c>
      <c r="C9" s="109">
        <v>-0.66825754255920489</v>
      </c>
      <c r="D9" s="109">
        <v>-0.5904613819796557</v>
      </c>
      <c r="E9" s="109">
        <v>-0.63449440257961387</v>
      </c>
      <c r="F9" s="109">
        <v>-0.6461549890735192</v>
      </c>
      <c r="G9" s="109">
        <v>-0.22167922217187563</v>
      </c>
      <c r="H9" s="109">
        <v>-0.34172767313734953</v>
      </c>
      <c r="I9" s="181"/>
      <c r="K9" s="110" t="s">
        <v>23</v>
      </c>
      <c r="L9" s="111">
        <v>-0.3644</v>
      </c>
      <c r="M9" s="146">
        <v>1.2869999999999999E-2</v>
      </c>
      <c r="N9" s="111">
        <v>1.038</v>
      </c>
    </row>
    <row r="10" spans="1:14">
      <c r="A10" s="108">
        <v>50</v>
      </c>
      <c r="B10" s="109">
        <v>-0.56432091512237903</v>
      </c>
      <c r="C10" s="109">
        <v>-0.58660888869906025</v>
      </c>
      <c r="D10" s="109">
        <v>-0.51474890543256313</v>
      </c>
      <c r="E10" s="109">
        <v>-0.56821295557201257</v>
      </c>
      <c r="F10" s="109">
        <v>-0.55659173180953114</v>
      </c>
      <c r="G10" s="109">
        <v>-0.12340097216390046</v>
      </c>
      <c r="H10" s="109">
        <v>-0.26204925902883125</v>
      </c>
      <c r="I10" s="181"/>
      <c r="K10" s="110" t="s">
        <v>24</v>
      </c>
      <c r="L10" s="111">
        <v>-0.5181</v>
      </c>
      <c r="M10" s="146">
        <v>1.7950000000000001E-2</v>
      </c>
      <c r="N10" s="111">
        <v>1.0752999999999999</v>
      </c>
    </row>
    <row r="11" spans="1:14">
      <c r="A11" s="108">
        <v>55</v>
      </c>
      <c r="B11" s="109">
        <v>-0.44835796349979129</v>
      </c>
      <c r="C11" s="109">
        <v>-0.48111641634940366</v>
      </c>
      <c r="D11" s="109">
        <v>-0.42188099777551347</v>
      </c>
      <c r="E11" s="109">
        <v>-0.48239734581505644</v>
      </c>
      <c r="F11" s="109">
        <v>-0.44666706004400114</v>
      </c>
      <c r="G11" s="109">
        <v>-3.7741261678927496E-2</v>
      </c>
      <c r="H11" s="109">
        <v>-0.15798816106459881</v>
      </c>
      <c r="I11" s="181"/>
      <c r="K11" s="110" t="s">
        <v>25</v>
      </c>
      <c r="L11" s="111">
        <v>-0.68799999999999994</v>
      </c>
      <c r="M11" s="146">
        <v>2.342E-2</v>
      </c>
      <c r="N11" s="111">
        <v>1.1275999999999999</v>
      </c>
    </row>
    <row r="12" spans="1:14">
      <c r="A12" s="108">
        <v>60</v>
      </c>
      <c r="B12" s="109">
        <v>-0.30638850188113281</v>
      </c>
      <c r="C12" s="109">
        <v>-0.34745214284807552</v>
      </c>
      <c r="D12" s="109">
        <v>-0.31373408763068089</v>
      </c>
      <c r="E12" s="109">
        <v>-0.37368650277193127</v>
      </c>
      <c r="F12" s="109">
        <v>-0.31288957869926254</v>
      </c>
      <c r="G12" s="109">
        <v>6.0023300700182657E-2</v>
      </c>
      <c r="H12" s="109">
        <v>-2.2013733772545899E-2</v>
      </c>
      <c r="I12" s="181"/>
      <c r="K12" s="112" t="s">
        <v>26</v>
      </c>
      <c r="L12" s="113">
        <v>-0.8054</v>
      </c>
      <c r="M12" s="147">
        <v>2.7210000000000002E-2</v>
      </c>
      <c r="N12" s="113">
        <v>1.1677999999999999</v>
      </c>
    </row>
    <row r="13" spans="1:14">
      <c r="A13" s="108">
        <v>65</v>
      </c>
      <c r="B13" s="109">
        <v>-0.13218620461701414</v>
      </c>
      <c r="C13" s="109">
        <v>-0.17916315353789958</v>
      </c>
      <c r="D13" s="109">
        <v>-0.17374005998585826</v>
      </c>
      <c r="E13" s="109">
        <v>-0.22956293913585316</v>
      </c>
      <c r="F13" s="109">
        <v>-0.14574826715382799</v>
      </c>
      <c r="G13" s="109">
        <v>0.19267999897808619</v>
      </c>
      <c r="H13" s="109">
        <v>0.15618718293827644</v>
      </c>
      <c r="I13" s="181"/>
    </row>
    <row r="14" spans="1:14" ht="15.75">
      <c r="A14" s="108">
        <v>70</v>
      </c>
      <c r="B14" s="109">
        <v>8.1075417880201409E-2</v>
      </c>
      <c r="C14" s="109">
        <v>3.4873769526037102E-2</v>
      </c>
      <c r="D14" s="109">
        <v>7.709813626405328E-3</v>
      </c>
      <c r="E14" s="109">
        <v>-4.0702942595531359E-2</v>
      </c>
      <c r="F14" s="109">
        <v>6.0162515402529336E-2</v>
      </c>
      <c r="G14" s="109">
        <v>0.36990982282098506</v>
      </c>
      <c r="H14" s="109">
        <v>0.38855515160543486</v>
      </c>
      <c r="I14" s="181"/>
      <c r="K14" s="105" t="s">
        <v>102</v>
      </c>
    </row>
    <row r="15" spans="1:14" ht="15.75">
      <c r="A15" s="108">
        <v>75</v>
      </c>
      <c r="B15" s="109">
        <v>0.34157292464829403</v>
      </c>
      <c r="C15" s="109">
        <v>0.3123474009290419</v>
      </c>
      <c r="D15" s="109">
        <v>0.24438970566438267</v>
      </c>
      <c r="E15" s="109">
        <v>0.21969545818577857</v>
      </c>
      <c r="F15" s="109">
        <v>0.32200302729512403</v>
      </c>
      <c r="G15" s="109">
        <v>0.6017457010738323</v>
      </c>
      <c r="H15" s="109">
        <v>0.68955523679593611</v>
      </c>
      <c r="I15" s="181"/>
      <c r="K15" s="107" t="s">
        <v>117</v>
      </c>
    </row>
    <row r="16" spans="1:14" ht="16.5">
      <c r="A16" s="108">
        <v>80</v>
      </c>
      <c r="B16" s="109">
        <v>0.6615291707175992</v>
      </c>
      <c r="C16" s="109">
        <v>0.67726953010875401</v>
      </c>
      <c r="D16" s="109">
        <v>0.5542075593189103</v>
      </c>
      <c r="E16" s="109">
        <v>0.58006843196258251</v>
      </c>
      <c r="F16" s="109">
        <v>0.66202299315788493</v>
      </c>
      <c r="G16" s="109">
        <v>0.90049171444679954</v>
      </c>
      <c r="H16" s="109">
        <v>1.0868989921247891</v>
      </c>
      <c r="I16" s="181"/>
      <c r="K16" s="208" t="s">
        <v>17</v>
      </c>
      <c r="L16" s="209" t="s">
        <v>153</v>
      </c>
      <c r="M16" s="209" t="s">
        <v>154</v>
      </c>
      <c r="N16" s="209" t="s">
        <v>155</v>
      </c>
    </row>
    <row r="17" spans="1:15">
      <c r="A17" s="115">
        <v>85</v>
      </c>
      <c r="B17" s="116">
        <v>1.067151820502233</v>
      </c>
      <c r="C17" s="116">
        <v>1.17951998038618</v>
      </c>
      <c r="D17" s="116">
        <v>0.97306427262294348</v>
      </c>
      <c r="E17" s="116">
        <v>1.0907265436318963</v>
      </c>
      <c r="F17" s="116">
        <v>1.1203444618292409</v>
      </c>
      <c r="G17" s="116">
        <v>1.2911358001153606</v>
      </c>
      <c r="H17" s="116">
        <v>1.6191743791923827</v>
      </c>
      <c r="I17" s="182"/>
      <c r="K17" s="110">
        <v>10</v>
      </c>
      <c r="L17" s="111">
        <v>-0.36109999999999998</v>
      </c>
      <c r="M17" s="146">
        <v>1.25E-3</v>
      </c>
      <c r="N17" s="111">
        <v>1.2974000000000001</v>
      </c>
    </row>
    <row r="18" spans="1:15">
      <c r="K18" s="110">
        <v>15</v>
      </c>
      <c r="L18" s="111">
        <v>-0.40300000000000002</v>
      </c>
      <c r="M18" s="146">
        <v>2.2200000000000002E-3</v>
      </c>
      <c r="N18" s="111">
        <v>1.3732</v>
      </c>
    </row>
    <row r="19" spans="1:15" ht="15.75">
      <c r="A19" s="105" t="s">
        <v>64</v>
      </c>
      <c r="C19" s="117" t="s">
        <v>108</v>
      </c>
      <c r="D19" s="181">
        <v>0</v>
      </c>
      <c r="F19" s="210"/>
      <c r="H19" s="173"/>
      <c r="I19" s="173"/>
      <c r="K19" s="110">
        <v>20</v>
      </c>
      <c r="L19" s="111">
        <v>-0.21199999999999999</v>
      </c>
      <c r="M19" s="146">
        <v>3.7200000000000002E-3</v>
      </c>
      <c r="N19" s="111">
        <v>1.1342000000000001</v>
      </c>
    </row>
    <row r="20" spans="1:15">
      <c r="A20" s="106"/>
      <c r="B20" s="106"/>
      <c r="C20" s="117" t="s">
        <v>139</v>
      </c>
      <c r="D20" s="181">
        <v>1</v>
      </c>
      <c r="F20" s="210"/>
      <c r="H20" s="173"/>
      <c r="I20" s="173"/>
      <c r="K20" s="110">
        <v>25</v>
      </c>
      <c r="L20" s="111">
        <v>-0.2389</v>
      </c>
      <c r="M20" s="146">
        <v>5.8599999999999998E-3</v>
      </c>
      <c r="N20" s="111">
        <v>1.1131</v>
      </c>
    </row>
    <row r="21" spans="1:15" ht="16.5">
      <c r="A21" s="202"/>
      <c r="B21" s="203" t="str">
        <f>Introduction!D11</f>
        <v>AIDS</v>
      </c>
      <c r="C21" s="203" t="s">
        <v>63</v>
      </c>
      <c r="D21" s="203" t="s">
        <v>63</v>
      </c>
      <c r="F21" s="210"/>
      <c r="G21" s="203" t="s">
        <v>140</v>
      </c>
      <c r="H21" s="203" t="s">
        <v>141</v>
      </c>
      <c r="I21" s="173"/>
      <c r="K21" s="110">
        <v>30</v>
      </c>
      <c r="L21" s="111">
        <v>-0.25130000000000002</v>
      </c>
      <c r="M21" s="146">
        <v>8.8500000000000002E-3</v>
      </c>
      <c r="N21" s="111">
        <v>1.0223</v>
      </c>
    </row>
    <row r="22" spans="1:15" ht="18">
      <c r="A22" s="204" t="s">
        <v>0</v>
      </c>
      <c r="B22" s="205" t="s">
        <v>149</v>
      </c>
      <c r="C22" s="205" t="s">
        <v>30</v>
      </c>
      <c r="D22" s="205" t="s">
        <v>30</v>
      </c>
      <c r="F22" s="210"/>
      <c r="G22" s="205" t="s">
        <v>30</v>
      </c>
      <c r="H22" s="205" t="s">
        <v>30</v>
      </c>
      <c r="I22" s="173"/>
      <c r="K22" s="110" t="s">
        <v>23</v>
      </c>
      <c r="L22" s="111">
        <v>-0.3644</v>
      </c>
      <c r="M22" s="146">
        <v>1.2869999999999999E-2</v>
      </c>
      <c r="N22" s="111">
        <v>1.038</v>
      </c>
    </row>
    <row r="23" spans="1:15" ht="18">
      <c r="A23" s="206"/>
      <c r="B23" s="207" t="s">
        <v>150</v>
      </c>
      <c r="C23" s="207" t="s">
        <v>151</v>
      </c>
      <c r="D23" s="207" t="s">
        <v>152</v>
      </c>
      <c r="F23" s="210"/>
      <c r="G23" s="207" t="s">
        <v>152</v>
      </c>
      <c r="H23" s="207" t="s">
        <v>152</v>
      </c>
      <c r="I23" s="173"/>
      <c r="K23" s="110" t="s">
        <v>24</v>
      </c>
      <c r="L23" s="111">
        <v>-0.5181</v>
      </c>
      <c r="M23" s="146">
        <v>1.7950000000000001E-2</v>
      </c>
      <c r="N23" s="111">
        <v>1.0752999999999999</v>
      </c>
    </row>
    <row r="24" spans="1:15">
      <c r="A24" s="118">
        <v>15</v>
      </c>
      <c r="B24" s="119" t="e">
        <f>IF(Introduction!$D$11="AIDS",NA(),HLOOKUP(Introduction!D$11,$B$2:$I$17,ROW()-ROW(B$24)+2,FALSE))</f>
        <v>#N/A</v>
      </c>
      <c r="C24" s="119" t="e">
        <f>$D$19+$D$20*B24</f>
        <v>#N/A</v>
      </c>
      <c r="D24" s="119" t="e">
        <f>1/(1+EXP(2*C24))</f>
        <v>#N/A</v>
      </c>
      <c r="F24" s="210"/>
      <c r="G24" s="119">
        <f>1/(1+EXP(2*G3))</f>
        <v>0.80514861719303354</v>
      </c>
      <c r="H24" s="119">
        <f>1/(1+EXP(2*H3))</f>
        <v>0.88473686022992692</v>
      </c>
      <c r="I24" s="173"/>
      <c r="K24" s="110" t="s">
        <v>25</v>
      </c>
      <c r="L24" s="111">
        <v>-0.68799999999999994</v>
      </c>
      <c r="M24" s="146">
        <v>2.342E-2</v>
      </c>
      <c r="N24" s="111">
        <v>1.1275999999999999</v>
      </c>
    </row>
    <row r="25" spans="1:15">
      <c r="A25" s="118">
        <f t="shared" ref="A25:A38" si="0">5+A24</f>
        <v>20</v>
      </c>
      <c r="B25" s="120" t="e">
        <f>IF(Introduction!$D$11="AIDS",NA(),HLOOKUP(Introduction!D$11,$B$2:$I$17,ROW()-ROW(B$24)+2,FALSE))</f>
        <v>#N/A</v>
      </c>
      <c r="C25" s="120" t="e">
        <f t="shared" ref="C25:C38" si="1">$D$19+$D$20*B25</f>
        <v>#N/A</v>
      </c>
      <c r="D25" s="120" t="e">
        <f t="shared" ref="D25:D38" si="2">1/(1+EXP(2*C25))</f>
        <v>#N/A</v>
      </c>
      <c r="F25" s="210"/>
      <c r="G25" s="120">
        <f t="shared" ref="G25:H25" si="3">1/(1+EXP(2*G4))</f>
        <v>0.79596559224198304</v>
      </c>
      <c r="H25" s="120">
        <f t="shared" si="3"/>
        <v>0.86025078256936516</v>
      </c>
      <c r="I25" s="173"/>
      <c r="K25" s="112" t="s">
        <v>26</v>
      </c>
      <c r="L25" s="113">
        <v>-0.8054</v>
      </c>
      <c r="M25" s="147">
        <v>2.7210000000000002E-2</v>
      </c>
      <c r="N25" s="113">
        <v>1.1677999999999999</v>
      </c>
    </row>
    <row r="26" spans="1:15">
      <c r="A26" s="118">
        <f t="shared" si="0"/>
        <v>25</v>
      </c>
      <c r="B26" s="120" t="e">
        <f>IF(Introduction!$D$11="AIDS",NA(),HLOOKUP(Introduction!D$11,$B$2:$I$17,ROW()-ROW(B$24)+2,FALSE))</f>
        <v>#N/A</v>
      </c>
      <c r="C26" s="120" t="e">
        <f t="shared" si="1"/>
        <v>#N/A</v>
      </c>
      <c r="D26" s="120" t="e">
        <f t="shared" si="2"/>
        <v>#N/A</v>
      </c>
      <c r="F26" s="210"/>
      <c r="G26" s="120">
        <f t="shared" ref="G26:H26" si="4">1/(1+EXP(2*G5))</f>
        <v>0.78130238188256707</v>
      </c>
      <c r="H26" s="120">
        <f t="shared" si="4"/>
        <v>0.81730442636868916</v>
      </c>
      <c r="I26" s="173"/>
    </row>
    <row r="27" spans="1:15" ht="15.75">
      <c r="A27" s="118">
        <f t="shared" si="0"/>
        <v>30</v>
      </c>
      <c r="B27" s="120" t="e">
        <f>IF(Introduction!$D$11="AIDS",NA(),HLOOKUP(Introduction!D$11,$B$2:$I$17,ROW()-ROW(B$24)+2,FALSE))</f>
        <v>#N/A</v>
      </c>
      <c r="C27" s="120" t="e">
        <f t="shared" si="1"/>
        <v>#N/A</v>
      </c>
      <c r="D27" s="120" t="e">
        <f t="shared" si="2"/>
        <v>#N/A</v>
      </c>
      <c r="F27" s="210"/>
      <c r="G27" s="120">
        <f t="shared" ref="G27:H27" si="5">1/(1+EXP(2*G6))</f>
        <v>0.7534868125811095</v>
      </c>
      <c r="H27" s="120">
        <f t="shared" si="5"/>
        <v>0.7676925562852156</v>
      </c>
      <c r="I27" s="173"/>
      <c r="K27" s="105" t="s">
        <v>109</v>
      </c>
      <c r="L27" s="106"/>
      <c r="M27" s="106"/>
      <c r="N27" s="106"/>
    </row>
    <row r="28" spans="1:15" ht="15.75">
      <c r="A28" s="118">
        <f t="shared" si="0"/>
        <v>35</v>
      </c>
      <c r="B28" s="120" t="e">
        <f>IF(Introduction!$D$11="AIDS",NA(),HLOOKUP(Introduction!D$11,$B$2:$I$17,ROW()-ROW(B$24)+2,FALSE))</f>
        <v>#N/A</v>
      </c>
      <c r="C28" s="120" t="e">
        <f t="shared" si="1"/>
        <v>#N/A</v>
      </c>
      <c r="D28" s="120" t="e">
        <f t="shared" si="2"/>
        <v>#N/A</v>
      </c>
      <c r="F28" s="210"/>
      <c r="G28" s="120">
        <f t="shared" ref="G28:H28" si="6">1/(1+EXP(2*G7))</f>
        <v>0.71022453817524256</v>
      </c>
      <c r="H28" s="120">
        <f t="shared" si="6"/>
        <v>0.72467562410872377</v>
      </c>
      <c r="I28" s="173"/>
      <c r="K28" s="107" t="s">
        <v>107</v>
      </c>
      <c r="L28" s="106"/>
      <c r="M28" s="106"/>
      <c r="N28" s="106"/>
      <c r="O28" s="106"/>
    </row>
    <row r="29" spans="1:15" ht="16.5">
      <c r="A29" s="118">
        <f t="shared" si="0"/>
        <v>40</v>
      </c>
      <c r="B29" s="120" t="e">
        <f>IF(Introduction!$D$11="AIDS",NA(),HLOOKUP(Introduction!D$11,$B$2:$I$17,ROW()-ROW(B$24)+2,FALSE))</f>
        <v>#N/A</v>
      </c>
      <c r="C29" s="120" t="e">
        <f t="shared" si="1"/>
        <v>#N/A</v>
      </c>
      <c r="D29" s="120" t="e">
        <f t="shared" si="2"/>
        <v>#N/A</v>
      </c>
      <c r="F29" s="210"/>
      <c r="G29" s="120">
        <f t="shared" ref="G29:H29" si="7">1/(1+EXP(2*G8))</f>
        <v>0.66064605808896804</v>
      </c>
      <c r="H29" s="120">
        <f t="shared" si="7"/>
        <v>0.6912956536783974</v>
      </c>
      <c r="I29" s="173"/>
      <c r="K29" s="208" t="s">
        <v>17</v>
      </c>
      <c r="L29" s="209" t="s">
        <v>153</v>
      </c>
      <c r="M29" s="209" t="s">
        <v>154</v>
      </c>
      <c r="N29" s="209" t="s">
        <v>155</v>
      </c>
      <c r="O29" s="209" t="s">
        <v>156</v>
      </c>
    </row>
    <row r="30" spans="1:15">
      <c r="A30" s="118">
        <f t="shared" si="0"/>
        <v>45</v>
      </c>
      <c r="B30" s="120" t="e">
        <f>IF(Introduction!$D$11="AIDS",NA(),HLOOKUP(Introduction!D$11,$B$2:$I$17,ROW()-ROW(B$24)+2,FALSE))</f>
        <v>#N/A</v>
      </c>
      <c r="C30" s="120" t="e">
        <f t="shared" si="1"/>
        <v>#N/A</v>
      </c>
      <c r="D30" s="120" t="e">
        <f t="shared" si="2"/>
        <v>#N/A</v>
      </c>
      <c r="F30" s="210"/>
      <c r="G30" s="120">
        <f t="shared" ref="G30:H30" si="8">1/(1+EXP(2*G9))</f>
        <v>0.60905898920282775</v>
      </c>
      <c r="H30" s="120">
        <f t="shared" si="8"/>
        <v>0.66450945804880357</v>
      </c>
      <c r="I30" s="173"/>
      <c r="K30" s="121" t="s">
        <v>18</v>
      </c>
      <c r="L30" s="122">
        <v>-0.55779999999999996</v>
      </c>
      <c r="M30" s="157">
        <v>4.0000000000000002E-4</v>
      </c>
      <c r="N30" s="122">
        <v>1.47078</v>
      </c>
      <c r="O30" s="122">
        <v>6.9779999999999995E-2</v>
      </c>
    </row>
    <row r="31" spans="1:15">
      <c r="A31" s="118">
        <f t="shared" si="0"/>
        <v>50</v>
      </c>
      <c r="B31" s="120" t="e">
        <f>IF(Introduction!$D$11="AIDS",NA(),HLOOKUP(Introduction!D$11,$B$2:$I$17,ROW()-ROW(B$24)+2,FALSE))</f>
        <v>#N/A</v>
      </c>
      <c r="C31" s="120" t="e">
        <f t="shared" si="1"/>
        <v>#N/A</v>
      </c>
      <c r="D31" s="120" t="e">
        <f t="shared" si="2"/>
        <v>#N/A</v>
      </c>
      <c r="F31" s="210"/>
      <c r="G31" s="120">
        <f t="shared" ref="G31:H31" si="9">1/(1+EXP(2*G10))</f>
        <v>0.56138919450631619</v>
      </c>
      <c r="H31" s="120">
        <f t="shared" si="9"/>
        <v>0.6281056364085158</v>
      </c>
      <c r="I31" s="173"/>
      <c r="K31" s="110" t="s">
        <v>19</v>
      </c>
      <c r="L31" s="123">
        <v>-0.40129999999999999</v>
      </c>
      <c r="M31" s="158">
        <v>5.7600000000000004E-3</v>
      </c>
      <c r="N31" s="123">
        <v>1.5602</v>
      </c>
      <c r="O31" s="123">
        <v>-0.35220000000000001</v>
      </c>
    </row>
    <row r="32" spans="1:15">
      <c r="A32" s="118">
        <f t="shared" si="0"/>
        <v>55</v>
      </c>
      <c r="B32" s="120" t="e">
        <f>IF(Introduction!$D$11="AIDS",NA(),HLOOKUP(Introduction!D$11,$B$2:$I$17,ROW()-ROW(B$24)+2,FALSE))</f>
        <v>#N/A</v>
      </c>
      <c r="C32" s="120" t="e">
        <f t="shared" si="1"/>
        <v>#N/A</v>
      </c>
      <c r="D32" s="120" t="e">
        <f t="shared" si="2"/>
        <v>#N/A</v>
      </c>
      <c r="F32" s="210"/>
      <c r="G32" s="120">
        <f t="shared" ref="G32:H32" si="10">1/(1+EXP(2*G11))</f>
        <v>0.51886167614812073</v>
      </c>
      <c r="H32" s="120">
        <f t="shared" si="10"/>
        <v>0.57834333925841475</v>
      </c>
      <c r="I32" s="173"/>
      <c r="K32" s="110" t="s">
        <v>20</v>
      </c>
      <c r="L32" s="123">
        <v>-0.33289999999999997</v>
      </c>
      <c r="M32" s="158">
        <v>1.031E-2</v>
      </c>
      <c r="N32" s="123">
        <v>0.66559999999999997</v>
      </c>
      <c r="O32" s="123">
        <v>0.34189999999999998</v>
      </c>
    </row>
    <row r="33" spans="1:15">
      <c r="A33" s="118">
        <f t="shared" si="0"/>
        <v>60</v>
      </c>
      <c r="B33" s="120" t="e">
        <f>IF(Introduction!$D$11="AIDS",NA(),HLOOKUP(Introduction!D$11,$B$2:$I$17,ROW()-ROW(B$24)+2,FALSE))</f>
        <v>#N/A</v>
      </c>
      <c r="C33" s="120" t="e">
        <f t="shared" si="1"/>
        <v>#N/A</v>
      </c>
      <c r="D33" s="120" t="e">
        <f t="shared" si="2"/>
        <v>#N/A</v>
      </c>
      <c r="F33" s="210"/>
      <c r="G33" s="120">
        <f t="shared" ref="G33:H33" si="11">1/(1+EXP(2*G12))</f>
        <v>0.47002433974235502</v>
      </c>
      <c r="H33" s="120">
        <f t="shared" si="11"/>
        <v>0.51100508923853971</v>
      </c>
      <c r="I33" s="173"/>
      <c r="K33" s="110" t="s">
        <v>21</v>
      </c>
      <c r="L33" s="123">
        <v>-0.47260000000000002</v>
      </c>
      <c r="M33" s="158">
        <v>1.559E-2</v>
      </c>
      <c r="N33" s="123">
        <v>0.21609999999999999</v>
      </c>
      <c r="O33" s="123">
        <v>0.78959999999999997</v>
      </c>
    </row>
    <row r="34" spans="1:15">
      <c r="A34" s="118">
        <f t="shared" si="0"/>
        <v>65</v>
      </c>
      <c r="B34" s="120" t="e">
        <f>IF(Introduction!$D$11="AIDS",NA(),HLOOKUP(Introduction!D$11,$B$2:$I$17,ROW()-ROW(B$24)+2,FALSE))</f>
        <v>#N/A</v>
      </c>
      <c r="C34" s="120" t="e">
        <f t="shared" si="1"/>
        <v>#N/A</v>
      </c>
      <c r="D34" s="120" t="e">
        <f t="shared" si="2"/>
        <v>#N/A</v>
      </c>
      <c r="G34" s="120">
        <f t="shared" ref="G34:H34" si="12">1/(1+EXP(2*G13))</f>
        <v>0.40483478396612887</v>
      </c>
      <c r="H34" s="120">
        <f t="shared" si="12"/>
        <v>0.4225352891437606</v>
      </c>
      <c r="K34" s="110" t="s">
        <v>22</v>
      </c>
      <c r="L34" s="123">
        <v>-0.7056</v>
      </c>
      <c r="M34" s="158">
        <v>2.0760000000000001E-2</v>
      </c>
      <c r="N34" s="123">
        <v>0.19969999999999999</v>
      </c>
      <c r="O34" s="123">
        <v>0.90659999999999996</v>
      </c>
    </row>
    <row r="35" spans="1:15">
      <c r="A35" s="118">
        <f t="shared" si="0"/>
        <v>70</v>
      </c>
      <c r="B35" s="120" t="e">
        <f>IF(Introduction!$D$11="AIDS",NA(),HLOOKUP(Introduction!D$11,$B$2:$I$17,ROW()-ROW(B$24)+2,FALSE))</f>
        <v>#N/A</v>
      </c>
      <c r="C35" s="120" t="e">
        <f t="shared" si="1"/>
        <v>#N/A</v>
      </c>
      <c r="D35" s="120" t="e">
        <f t="shared" si="2"/>
        <v>#N/A</v>
      </c>
      <c r="G35" s="120">
        <f t="shared" ref="G35:H35" si="13">1/(1+EXP(2*G14))</f>
        <v>0.32304358355274804</v>
      </c>
      <c r="H35" s="120">
        <f t="shared" si="13"/>
        <v>0.31494301579263917</v>
      </c>
      <c r="K35" s="110" t="s">
        <v>23</v>
      </c>
      <c r="L35" s="123">
        <v>-0.9153</v>
      </c>
      <c r="M35" s="158">
        <v>2.4930000000000001E-2</v>
      </c>
      <c r="N35" s="123">
        <v>0.34839999999999999</v>
      </c>
      <c r="O35" s="123">
        <v>0.86309999999999998</v>
      </c>
    </row>
    <row r="36" spans="1:15">
      <c r="A36" s="118">
        <f t="shared" si="0"/>
        <v>75</v>
      </c>
      <c r="B36" s="120" t="e">
        <f>IF(Introduction!$D$11="AIDS",NA(),HLOOKUP(Introduction!D$11,$B$2:$I$17,ROW()-ROW(B$24)+2,FALSE))</f>
        <v>#N/A</v>
      </c>
      <c r="C36" s="120" t="e">
        <f t="shared" si="1"/>
        <v>#N/A</v>
      </c>
      <c r="D36" s="120" t="e">
        <f t="shared" si="2"/>
        <v>#N/A</v>
      </c>
      <c r="G36" s="120">
        <f t="shared" ref="G36:H36" si="14">1/(1+EXP(2*G15))</f>
        <v>0.230854697852799</v>
      </c>
      <c r="H36" s="120">
        <f t="shared" si="14"/>
        <v>0.20115189958564808</v>
      </c>
      <c r="K36" s="112" t="s">
        <v>24</v>
      </c>
      <c r="L36" s="124">
        <v>-0.995</v>
      </c>
      <c r="M36" s="159">
        <v>2.6349999999999998E-2</v>
      </c>
      <c r="N36" s="124">
        <v>0.4269</v>
      </c>
      <c r="O36" s="124">
        <v>0.82630000000000003</v>
      </c>
    </row>
    <row r="37" spans="1:15">
      <c r="A37" s="118">
        <f t="shared" si="0"/>
        <v>80</v>
      </c>
      <c r="B37" s="120" t="e">
        <f>IF(Introduction!$D$11="AIDS",NA(),HLOOKUP(Introduction!D$11,$B$2:$I$17,ROW()-ROW(B$24)+2,FALSE))</f>
        <v>#N/A</v>
      </c>
      <c r="C37" s="120" t="e">
        <f t="shared" si="1"/>
        <v>#N/A</v>
      </c>
      <c r="D37" s="120" t="e">
        <f t="shared" si="2"/>
        <v>#N/A</v>
      </c>
      <c r="G37" s="120">
        <f t="shared" ref="G37:H37" si="15">1/(1+EXP(2*G16))</f>
        <v>0.14173139490914308</v>
      </c>
      <c r="H37" s="120">
        <f t="shared" si="15"/>
        <v>0.10212823900192645</v>
      </c>
    </row>
    <row r="38" spans="1:15">
      <c r="A38" s="125">
        <f t="shared" si="0"/>
        <v>85</v>
      </c>
      <c r="B38" s="113" t="e">
        <f>IF(Introduction!$D$11="AIDS",NA(),HLOOKUP(Introduction!D$11,$B$2:$I$17,ROW()-ROW(B$24)+2,FALSE))</f>
        <v>#N/A</v>
      </c>
      <c r="C38" s="113" t="e">
        <f t="shared" si="1"/>
        <v>#N/A</v>
      </c>
      <c r="D38" s="113" t="e">
        <f t="shared" si="2"/>
        <v>#N/A</v>
      </c>
      <c r="G38" s="113">
        <f t="shared" ref="G38:H38" si="16">1/(1+EXP(2*G17))</f>
        <v>7.0288142020316788E-2</v>
      </c>
      <c r="H38" s="113">
        <f t="shared" si="16"/>
        <v>3.7747822673980046E-2</v>
      </c>
    </row>
  </sheetData>
  <dataValidations count="3">
    <dataValidation type="decimal" allowBlank="1" showInputMessage="1" showErrorMessage="1" error="-1.5&lt;α&lt;1" promptTitle="Level parameter" prompt="α can vary from -1.5 (low mortality) to 1 (high mortality) around a central value of zero" sqref="D19">
      <formula1>-1.5</formula1>
      <formula2>1</formula2>
    </dataValidation>
    <dataValidation type="decimal" allowBlank="1" showInputMessage="1" showErrorMessage="1" error="0.6&lt;β&lt;1.5" promptTitle="Slope parameter" prompt="β can vary between 0.6 (relatively high mortality at younger ages) and 1.5 (relatively high mortality at older ages) around a central value of one." sqref="D20">
      <formula1>0.6</formula1>
      <formula2>1.5</formula2>
    </dataValidation>
    <dataValidation type="decimal" allowBlank="1" showInputMessage="1" showErrorMessage="1" error="Enter valid numeric values for the logits" sqref="I3:I17">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4" transitionEvaluation="1">
    <tabColor theme="7" tint="0.59999389629810485"/>
    <pageSetUpPr autoPageBreaks="0"/>
  </sheetPr>
  <dimension ref="A1:BG129"/>
  <sheetViews>
    <sheetView topLeftCell="A4" workbookViewId="0">
      <selection activeCell="D30" sqref="D30:E30"/>
    </sheetView>
  </sheetViews>
  <sheetFormatPr defaultColWidth="9.77734375" defaultRowHeight="15"/>
  <cols>
    <col min="1" max="1" width="6.33203125" style="68" customWidth="1"/>
    <col min="2" max="5" width="8.77734375" style="68" customWidth="1"/>
    <col min="6" max="6" width="4.21875" style="68" customWidth="1"/>
    <col min="7" max="11" width="8.77734375" style="68" customWidth="1"/>
    <col min="12" max="12" width="2.77734375" style="68" customWidth="1"/>
    <col min="13" max="14" width="6.77734375" style="68" customWidth="1"/>
    <col min="15" max="16" width="7.77734375" style="68" customWidth="1"/>
    <col min="17" max="17" width="10" style="68" customWidth="1"/>
    <col min="18" max="18" width="8.33203125" style="68" customWidth="1"/>
    <col min="19" max="19" width="8.21875" style="68" customWidth="1"/>
    <col min="20" max="20" width="6.77734375" style="68" customWidth="1"/>
    <col min="21" max="16384" width="9.77734375" style="68"/>
  </cols>
  <sheetData>
    <row r="1" spans="1:59" ht="15" customHeight="1">
      <c r="A1" s="6" t="s">
        <v>60</v>
      </c>
      <c r="B1" s="3"/>
      <c r="C1" s="3"/>
      <c r="D1" s="3"/>
      <c r="E1" s="3"/>
      <c r="F1" s="3"/>
      <c r="G1" s="137" t="str">
        <f>Introduction!D10</f>
        <v>Kenya</v>
      </c>
      <c r="H1" s="6" t="s">
        <v>5</v>
      </c>
      <c r="I1" s="3"/>
      <c r="J1" s="138" t="s">
        <v>87</v>
      </c>
      <c r="K1" s="76">
        <f>Introduction!D13</f>
        <v>36396</v>
      </c>
      <c r="L1" s="18"/>
      <c r="M1" s="15" t="s">
        <v>28</v>
      </c>
      <c r="N1" s="3"/>
      <c r="O1" s="3"/>
      <c r="P1" s="3"/>
      <c r="Q1" s="3"/>
      <c r="R1" s="3"/>
      <c r="S1" s="138" t="s">
        <v>112</v>
      </c>
      <c r="T1" s="3">
        <f>YEAR(K1)+YEARFRAC(DATE(YEAR(K1),1,1),K1,1)</f>
        <v>1999.6438356164383</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ht="15" customHeight="1">
      <c r="A2" s="6"/>
      <c r="B2" s="3"/>
      <c r="C2" s="3"/>
      <c r="D2" s="3"/>
      <c r="E2" s="3"/>
      <c r="F2" s="3"/>
      <c r="G2" s="137"/>
      <c r="H2" s="6"/>
      <c r="I2" s="3"/>
      <c r="J2" s="138"/>
      <c r="K2" s="76"/>
      <c r="L2" s="18"/>
      <c r="M2" s="15"/>
      <c r="N2" s="3"/>
      <c r="O2" s="3"/>
      <c r="P2" s="3"/>
      <c r="Q2" s="3"/>
      <c r="R2" s="3"/>
      <c r="S2" s="138"/>
      <c r="T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ht="15" customHeight="1">
      <c r="A3" s="141"/>
      <c r="B3" s="142"/>
      <c r="C3" s="142"/>
      <c r="D3" s="142"/>
      <c r="E3" s="213" t="s">
        <v>115</v>
      </c>
      <c r="F3" s="22"/>
      <c r="G3" s="142"/>
      <c r="H3" s="142"/>
      <c r="I3" s="142"/>
      <c r="J3" s="22" t="s">
        <v>113</v>
      </c>
      <c r="K3" s="142"/>
      <c r="L3" s="19"/>
      <c r="M3" s="22" t="s">
        <v>0</v>
      </c>
      <c r="N3" s="22" t="s">
        <v>29</v>
      </c>
      <c r="O3" s="22" t="s">
        <v>3</v>
      </c>
      <c r="P3" s="22" t="s">
        <v>30</v>
      </c>
      <c r="Q3" s="22" t="s">
        <v>56</v>
      </c>
      <c r="R3" s="22" t="s">
        <v>16</v>
      </c>
      <c r="S3" s="22" t="s">
        <v>31</v>
      </c>
      <c r="T3" s="62"/>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row>
    <row r="4" spans="1:59" ht="15" customHeight="1">
      <c r="A4" s="32" t="s">
        <v>0</v>
      </c>
      <c r="B4" s="32" t="s">
        <v>1</v>
      </c>
      <c r="C4" s="32" t="s">
        <v>2</v>
      </c>
      <c r="D4" s="32" t="s">
        <v>3</v>
      </c>
      <c r="E4" s="214"/>
      <c r="F4" s="32" t="s">
        <v>0</v>
      </c>
      <c r="G4" s="139" t="s">
        <v>39</v>
      </c>
      <c r="H4" s="33" t="s">
        <v>30</v>
      </c>
      <c r="I4" s="32" t="s">
        <v>4</v>
      </c>
      <c r="J4" s="32" t="s">
        <v>114</v>
      </c>
      <c r="K4" s="140"/>
      <c r="L4" s="19"/>
      <c r="M4" s="32" t="s">
        <v>51</v>
      </c>
      <c r="N4" s="32" t="s">
        <v>50</v>
      </c>
      <c r="O4" s="32" t="s">
        <v>53</v>
      </c>
      <c r="P4" s="32" t="s">
        <v>54</v>
      </c>
      <c r="Q4" s="32" t="s">
        <v>55</v>
      </c>
      <c r="R4" s="32" t="s">
        <v>62</v>
      </c>
      <c r="S4" s="32" t="s">
        <v>57</v>
      </c>
      <c r="T4" s="32" t="s">
        <v>6</v>
      </c>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1:59" ht="15" customHeight="1">
      <c r="A5" s="23" t="s">
        <v>51</v>
      </c>
      <c r="B5" s="23" t="s">
        <v>76</v>
      </c>
      <c r="C5" s="23" t="s">
        <v>52</v>
      </c>
      <c r="D5" s="166" t="s">
        <v>52</v>
      </c>
      <c r="E5" s="215"/>
      <c r="F5" s="34" t="s">
        <v>17</v>
      </c>
      <c r="G5" s="24" t="s">
        <v>38</v>
      </c>
      <c r="H5" s="32" t="s">
        <v>40</v>
      </c>
      <c r="I5" s="33" t="s">
        <v>58</v>
      </c>
      <c r="J5" s="128" t="str">
        <f>Introduction!D12</f>
        <v>30q30</v>
      </c>
      <c r="K5" s="37" t="s">
        <v>6</v>
      </c>
      <c r="L5" s="20"/>
      <c r="M5" s="73"/>
      <c r="N5" s="34" t="s">
        <v>41</v>
      </c>
      <c r="O5" s="23" t="s">
        <v>35</v>
      </c>
      <c r="P5" s="34" t="s">
        <v>46</v>
      </c>
      <c r="Q5" s="23" t="s">
        <v>36</v>
      </c>
      <c r="R5" s="23" t="s">
        <v>47</v>
      </c>
      <c r="S5" s="34" t="s">
        <v>48</v>
      </c>
      <c r="T5" s="7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59" ht="15" customHeight="1">
      <c r="A6" s="26" t="s">
        <v>59</v>
      </c>
      <c r="B6" s="183">
        <v>1922080</v>
      </c>
      <c r="C6" s="183">
        <v>1870660</v>
      </c>
      <c r="D6" s="27">
        <f>C6/B6</f>
        <v>0.97324773162407396</v>
      </c>
      <c r="E6" s="126">
        <f t="shared" ref="E6:E14" si="0">MBAR</f>
        <v>26.750483870967741</v>
      </c>
      <c r="F6" s="168">
        <v>10</v>
      </c>
      <c r="G6" s="49">
        <f>'Model data'!L4+'Model data'!M4*E6+'Model data'!N4*D6</f>
        <v>0.96633993098538418</v>
      </c>
      <c r="H6" s="49">
        <f>IF(Introduction!$D$11="AIDS",'Model data'!H28,'Model data'!D28)</f>
        <v>0.72467562410872377</v>
      </c>
      <c r="I6" s="46">
        <f>-0.5*LN(1+(G6/H6-1/IF(Introduction!$D$11="AIDS",'Model data'!H$26,'Model data'!$D$26))/(1-G6))</f>
        <v>-0.7253772924688231</v>
      </c>
      <c r="J6" s="189">
        <f>IF(Introduction!$D$11="AIDS",1-(1+EXP(2*(I6+IF(Introduction!D$12="45q15",'Model data'!$H$3,'Model data'!$H$6))))/(1+EXP(2*(I6+'Model data'!$H$12))),1-(1+EXP(2*(I6+IF(Introduction!D$12="45q15",'Model data'!$C$24,'Model data'!$C$27))))/(1+EXP(2*(I6+'Model data'!$C$33))))</f>
        <v>0.12527097033039813</v>
      </c>
      <c r="K6" s="190">
        <f>T6</f>
        <v>1996.0496992155652</v>
      </c>
      <c r="L6" s="21"/>
      <c r="M6" s="26" t="s">
        <v>59</v>
      </c>
      <c r="N6" s="40">
        <f>7.5</f>
        <v>7.5</v>
      </c>
      <c r="O6" s="27">
        <f t="shared" ref="O6:O14" si="1">D6</f>
        <v>0.97324773162407396</v>
      </c>
      <c r="P6" s="27">
        <f t="shared" ref="P6:P14" si="2">(1-(MBAR+N6)/80)/(1-MBAR/80)</f>
        <v>0.85915364973784403</v>
      </c>
      <c r="Q6" s="27">
        <f t="shared" ref="Q6:Q14" si="3">LN(O6/P6)/3</f>
        <v>4.1563626433820111E-2</v>
      </c>
      <c r="R6" s="40">
        <f t="shared" ref="R6:R14" si="4">N6/2</f>
        <v>3.75</v>
      </c>
      <c r="S6" s="28">
        <f t="shared" ref="S6:S14" si="5">R6*(1-Q6)</f>
        <v>3.5941364008731744</v>
      </c>
      <c r="T6" s="38">
        <f t="shared" ref="T6:T14" si="6">Date_of_survey-S6</f>
        <v>1996.0496992155652</v>
      </c>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row>
    <row r="7" spans="1:59" ht="15" customHeight="1">
      <c r="A7" s="26" t="s">
        <v>8</v>
      </c>
      <c r="B7" s="184">
        <v>1948980</v>
      </c>
      <c r="C7" s="184">
        <v>1863260</v>
      </c>
      <c r="D7" s="27">
        <f t="shared" ref="D7:D14" si="7">C7/B7</f>
        <v>0.9560180196820901</v>
      </c>
      <c r="E7" s="127">
        <f t="shared" si="0"/>
        <v>26.750483870967741</v>
      </c>
      <c r="F7" s="168">
        <v>15</v>
      </c>
      <c r="G7" s="50">
        <f>'Model data'!L5+'Model data'!M5*E7+'Model data'!N5*D7</f>
        <v>0.95096491748593737</v>
      </c>
      <c r="H7" s="50">
        <f>IF(Introduction!$D$11="AIDS",'Model data'!H29,'Model data'!D29)</f>
        <v>0.6912956536783974</v>
      </c>
      <c r="I7" s="47">
        <f>-0.5*LN(1+(G7/H7-1/IF(Introduction!$D$11="AIDS",'Model data'!H$26,'Model data'!$D$26))/(1-G7))</f>
        <v>-0.7057020366419916</v>
      </c>
      <c r="J7" s="191">
        <f>IF(Introduction!$D$11="AIDS",1-(1+EXP(2*(I7+IF(Introduction!D$12="45q15",'Model data'!$H$3,'Model data'!$H$6))))/(1+EXP(2*(I7+'Model data'!$H$12))),1-(1+EXP(2*(I7+IF(Introduction!D$12="45q15",'Model data'!$C$24,'Model data'!$C$27))))/(1+EXP(2*(I7+'Model data'!$C$33))))</f>
        <v>0.12934763591426501</v>
      </c>
      <c r="K7" s="192">
        <f>T7</f>
        <v>1993.8575152731441</v>
      </c>
      <c r="L7" s="21"/>
      <c r="M7" s="26" t="s">
        <v>8</v>
      </c>
      <c r="N7" s="40">
        <f>N6+5</f>
        <v>12.5</v>
      </c>
      <c r="O7" s="27">
        <f t="shared" si="1"/>
        <v>0.9560180196820901</v>
      </c>
      <c r="P7" s="27">
        <f t="shared" si="2"/>
        <v>0.76525608289640679</v>
      </c>
      <c r="Q7" s="27">
        <f t="shared" si="3"/>
        <v>7.4188745072927692E-2</v>
      </c>
      <c r="R7" s="40">
        <f t="shared" si="4"/>
        <v>6.25</v>
      </c>
      <c r="S7" s="28">
        <f t="shared" si="5"/>
        <v>5.7863203432942019</v>
      </c>
      <c r="T7" s="38">
        <f t="shared" si="6"/>
        <v>1993.8575152731441</v>
      </c>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row>
    <row r="8" spans="1:59" ht="15" customHeight="1">
      <c r="A8" s="26" t="s">
        <v>9</v>
      </c>
      <c r="B8" s="183">
        <v>1678620</v>
      </c>
      <c r="C8" s="183">
        <v>1567120</v>
      </c>
      <c r="D8" s="27">
        <f t="shared" si="7"/>
        <v>0.93357639012998772</v>
      </c>
      <c r="E8" s="127">
        <f t="shared" si="0"/>
        <v>26.750483870967741</v>
      </c>
      <c r="F8" s="168">
        <v>20</v>
      </c>
      <c r="G8" s="50">
        <f>'Model data'!L6+'Model data'!M6*E8+'Model data'!N6*D8</f>
        <v>0.93080095061181212</v>
      </c>
      <c r="H8" s="50">
        <f>IF(Introduction!$D$11="AIDS",'Model data'!H30,'Model data'!D30)</f>
        <v>0.66450945804880357</v>
      </c>
      <c r="I8" s="47">
        <f>-0.5*LN(1+(G8/H8-1/IF(Introduction!$D$11="AIDS",'Model data'!H$26,'Model data'!$D$26))/(1-G8))</f>
        <v>-0.63498188941958189</v>
      </c>
      <c r="J8" s="191">
        <f>IF(Introduction!$D$11="AIDS",1-(1+EXP(2*(I8+IF(Introduction!D$12="45q15",'Model data'!$H$3,'Model data'!$H$6))))/(1+EXP(2*(I8+'Model data'!$H$12))),1-(1+EXP(2*(I8+IF(Introduction!D$12="45q15",'Model data'!$C$24,'Model data'!$C$27))))/(1+EXP(2*(I8+'Model data'!$C$33))))</f>
        <v>0.14483696206549845</v>
      </c>
      <c r="K8" s="192">
        <f>T8</f>
        <v>1991.8555174802964</v>
      </c>
      <c r="L8" s="21"/>
      <c r="M8" s="26" t="s">
        <v>9</v>
      </c>
      <c r="N8" s="40">
        <f t="shared" ref="N8:N14" si="8">N7+5</f>
        <v>17.5</v>
      </c>
      <c r="O8" s="27">
        <f t="shared" si="1"/>
        <v>0.93357639012998772</v>
      </c>
      <c r="P8" s="27">
        <f t="shared" si="2"/>
        <v>0.67135851605496943</v>
      </c>
      <c r="Q8" s="27">
        <f t="shared" si="3"/>
        <v>0.10990649872664027</v>
      </c>
      <c r="R8" s="40">
        <f t="shared" si="4"/>
        <v>8.75</v>
      </c>
      <c r="S8" s="28">
        <f t="shared" si="5"/>
        <v>7.7883181361418981</v>
      </c>
      <c r="T8" s="38">
        <f t="shared" si="6"/>
        <v>1991.8555174802964</v>
      </c>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15" customHeight="1">
      <c r="A9" s="26" t="s">
        <v>10</v>
      </c>
      <c r="B9" s="184">
        <v>1479460</v>
      </c>
      <c r="C9" s="184">
        <v>1343340</v>
      </c>
      <c r="D9" s="27">
        <f t="shared" si="7"/>
        <v>0.90799345707217494</v>
      </c>
      <c r="E9" s="127">
        <f t="shared" si="0"/>
        <v>26.750483870967741</v>
      </c>
      <c r="F9" s="168">
        <v>25</v>
      </c>
      <c r="G9" s="50">
        <f>'Model data'!L7+'Model data'!M7*E9+'Model data'!N7*D9</f>
        <v>0.90819471785987294</v>
      </c>
      <c r="H9" s="50">
        <f>IF(Introduction!$D$11="AIDS",'Model data'!H31,'Model data'!D31)</f>
        <v>0.6281056364085158</v>
      </c>
      <c r="I9" s="47">
        <f>-0.5*LN(1+(G9/H9-1/IF(Introduction!$D$11="AIDS",'Model data'!H$26,'Model data'!$D$26))/(1-G9))</f>
        <v>-0.61517627467607849</v>
      </c>
      <c r="J9" s="191">
        <f>IF(Introduction!$D$11="AIDS",1-(1+EXP(2*(I9+IF(Introduction!D$12="45q15",'Model data'!$H$3,'Model data'!$H$6))))/(1+EXP(2*(I9+'Model data'!$H$12))),1-(1+EXP(2*(I9+IF(Introduction!D$12="45q15",'Model data'!$C$24,'Model data'!$C$27))))/(1+EXP(2*(I9+'Model data'!$C$33))))</f>
        <v>0.14941049607132573</v>
      </c>
      <c r="K9" s="192">
        <f>T9</f>
        <v>1990.0910719402166</v>
      </c>
      <c r="L9" s="21"/>
      <c r="M9" s="26" t="s">
        <v>10</v>
      </c>
      <c r="N9" s="40">
        <f t="shared" si="8"/>
        <v>22.5</v>
      </c>
      <c r="O9" s="27">
        <f t="shared" si="1"/>
        <v>0.90799345707217494</v>
      </c>
      <c r="P9" s="27">
        <f t="shared" si="2"/>
        <v>0.57746094921353208</v>
      </c>
      <c r="Q9" s="27">
        <f t="shared" si="3"/>
        <v>0.15086545100252158</v>
      </c>
      <c r="R9" s="40">
        <f t="shared" si="4"/>
        <v>11.25</v>
      </c>
      <c r="S9" s="28">
        <f t="shared" si="5"/>
        <v>9.5527636762216321</v>
      </c>
      <c r="T9" s="38">
        <f t="shared" si="6"/>
        <v>1990.0910719402166</v>
      </c>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15" customHeight="1">
      <c r="A10" s="26" t="s">
        <v>11</v>
      </c>
      <c r="B10" s="183">
        <v>1192500</v>
      </c>
      <c r="C10" s="183">
        <v>1045940</v>
      </c>
      <c r="D10" s="27">
        <f t="shared" si="7"/>
        <v>0.87709853249475889</v>
      </c>
      <c r="E10" s="127">
        <f t="shared" si="0"/>
        <v>26.750483870967741</v>
      </c>
      <c r="F10" s="168">
        <v>30</v>
      </c>
      <c r="G10" s="50">
        <f>'Model data'!L8+'Model data'!M8*E10+'Model data'!N8*D10</f>
        <v>0.8819487726144587</v>
      </c>
      <c r="H10" s="50">
        <f>IF(Introduction!$D$11="AIDS",'Model data'!H32,'Model data'!D32)</f>
        <v>0.57834333925841475</v>
      </c>
      <c r="I10" s="47">
        <f>-0.5*LN(1+(G10/H10-1/IF(Introduction!$D$11="AIDS",'Model data'!H$26,'Model data'!$D$26))/(1-G10))</f>
        <v>-0.6339414556907299</v>
      </c>
      <c r="J10" s="191">
        <f>IF(Introduction!$D$11="AIDS",1-(1+EXP(2*(I10+IF(Introduction!D$12="45q15",'Model data'!$H$3,'Model data'!$H$6))))/(1+EXP(2*(I10+'Model data'!$H$12))),1-(1+EXP(2*(I10+IF(Introduction!D$12="45q15",'Model data'!$C$24,'Model data'!$C$27))))/(1+EXP(2*(I10+'Model data'!$C$33))))</f>
        <v>0.14507465142304998</v>
      </c>
      <c r="K10" s="192">
        <f>IF(T10&lt;T9,T10,NA())</f>
        <v>1988.6229215950241</v>
      </c>
      <c r="L10" s="21"/>
      <c r="M10" s="26" t="s">
        <v>11</v>
      </c>
      <c r="N10" s="40">
        <f t="shared" si="8"/>
        <v>27.5</v>
      </c>
      <c r="O10" s="27">
        <f t="shared" si="1"/>
        <v>0.87709853249475889</v>
      </c>
      <c r="P10" s="27">
        <f t="shared" si="2"/>
        <v>0.48356338237209484</v>
      </c>
      <c r="Q10" s="27">
        <f t="shared" si="3"/>
        <v>0.19847898026077934</v>
      </c>
      <c r="R10" s="40">
        <f t="shared" si="4"/>
        <v>13.75</v>
      </c>
      <c r="S10" s="28">
        <f t="shared" si="5"/>
        <v>11.020914021414283</v>
      </c>
      <c r="T10" s="38">
        <f t="shared" si="6"/>
        <v>1988.6229215950241</v>
      </c>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15" customHeight="1">
      <c r="A11" s="26" t="s">
        <v>12</v>
      </c>
      <c r="B11" s="184">
        <v>840940</v>
      </c>
      <c r="C11" s="184">
        <v>693260</v>
      </c>
      <c r="D11" s="27">
        <f t="shared" si="7"/>
        <v>0.82438699550503014</v>
      </c>
      <c r="E11" s="127">
        <f t="shared" si="0"/>
        <v>26.750483870967741</v>
      </c>
      <c r="F11" s="168">
        <v>35</v>
      </c>
      <c r="G11" s="50">
        <f>'Model data'!L9+'Model data'!M9*E11+'Model data'!N9*D11</f>
        <v>0.83559242875357609</v>
      </c>
      <c r="H11" s="50">
        <f>IF(Introduction!$D$11="AIDS",'Model data'!H33,'Model data'!D33)</f>
        <v>0.51100508923853971</v>
      </c>
      <c r="I11" s="47">
        <f>-0.5*LN(1+(G11/H11-1/IF(Introduction!$D$11="AIDS",'Model data'!H$26,'Model data'!$D$26))/(1-G11))</f>
        <v>-0.6269379074901763</v>
      </c>
      <c r="J11" s="191">
        <f>IF(Introduction!$D$11="AIDS",1-(1+EXP(2*(I11+IF(Introduction!D$12="45q15",'Model data'!$H$3,'Model data'!$H$6))))/(1+EXP(2*(I11+'Model data'!$H$12))),1-(1+EXP(2*(I11+IF(Introduction!D$12="45q15",'Model data'!$C$24,'Model data'!$C$27))))/(1+EXP(2*(I11+'Model data'!$C$33))))</f>
        <v>0.14668204040311761</v>
      </c>
      <c r="K11" s="192">
        <f>IF(T11&lt;T10,T11,NA())</f>
        <v>1987.4528179565168</v>
      </c>
      <c r="L11" s="21"/>
      <c r="M11" s="26" t="s">
        <v>12</v>
      </c>
      <c r="N11" s="40">
        <f t="shared" si="8"/>
        <v>32.5</v>
      </c>
      <c r="O11" s="27">
        <f t="shared" si="1"/>
        <v>0.82438699550503014</v>
      </c>
      <c r="P11" s="27">
        <f t="shared" si="2"/>
        <v>0.38966581553065754</v>
      </c>
      <c r="Q11" s="27">
        <f t="shared" si="3"/>
        <v>0.2497835286202211</v>
      </c>
      <c r="R11" s="40">
        <f t="shared" si="4"/>
        <v>16.25</v>
      </c>
      <c r="S11" s="28">
        <f t="shared" si="5"/>
        <v>12.191017659921407</v>
      </c>
      <c r="T11" s="38">
        <f t="shared" si="6"/>
        <v>1987.4528179565168</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15" customHeight="1">
      <c r="A12" s="26" t="s">
        <v>13</v>
      </c>
      <c r="B12" s="183">
        <v>718980</v>
      </c>
      <c r="C12" s="183">
        <v>552960</v>
      </c>
      <c r="D12" s="27">
        <f t="shared" si="7"/>
        <v>0.7690895435199866</v>
      </c>
      <c r="E12" s="127">
        <f t="shared" si="0"/>
        <v>26.750483870967741</v>
      </c>
      <c r="F12" s="168">
        <v>40</v>
      </c>
      <c r="G12" s="50">
        <f>'Model data'!L10+'Model data'!M10*E12+'Model data'!N10*D12</f>
        <v>0.78907317163091251</v>
      </c>
      <c r="H12" s="50">
        <f>IF(Introduction!$D$11="AIDS",'Model data'!H34,'Model data'!D34)</f>
        <v>0.4225352891437606</v>
      </c>
      <c r="I12" s="47">
        <f>-0.5*LN(1+(G12/H12-1/IF(Introduction!$D$11="AIDS",'Model data'!H$26,'Model data'!$D$26))/(1-G12))</f>
        <v>-0.69971634494981361</v>
      </c>
      <c r="J12" s="191">
        <f>IF(Introduction!$D$11="AIDS",1-(1+EXP(2*(I12+IF(Introduction!D$12="45q15",'Model data'!$H$3,'Model data'!$H$6))))/(1+EXP(2*(I12+'Model data'!$H$12))),1-(1+EXP(2*(I12+IF(Introduction!D$12="45q15",'Model data'!$C$24,'Model data'!$C$27))))/(1+EXP(2*(I12+'Model data'!$C$33))))</f>
        <v>0.1306078608925183</v>
      </c>
      <c r="K12" s="192">
        <f>IF(T12&lt;T11,T12,NA())</f>
        <v>1986.8665306176206</v>
      </c>
      <c r="L12" s="21"/>
      <c r="M12" s="26" t="s">
        <v>13</v>
      </c>
      <c r="N12" s="40">
        <f t="shared" si="8"/>
        <v>37.5</v>
      </c>
      <c r="O12" s="27">
        <f t="shared" si="1"/>
        <v>0.7690895435199866</v>
      </c>
      <c r="P12" s="27">
        <f t="shared" si="2"/>
        <v>0.29576824868922019</v>
      </c>
      <c r="Q12" s="27">
        <f t="shared" si="3"/>
        <v>0.31854373339638725</v>
      </c>
      <c r="R12" s="40">
        <f t="shared" si="4"/>
        <v>18.75</v>
      </c>
      <c r="S12" s="28">
        <f t="shared" si="5"/>
        <v>12.777304998817741</v>
      </c>
      <c r="T12" s="38">
        <f t="shared" si="6"/>
        <v>1986.8665306176206</v>
      </c>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15" customHeight="1">
      <c r="A13" s="26" t="s">
        <v>14</v>
      </c>
      <c r="B13" s="184">
        <v>513840</v>
      </c>
      <c r="C13" s="184">
        <v>343520</v>
      </c>
      <c r="D13" s="27">
        <f t="shared" si="7"/>
        <v>0.66853495251440131</v>
      </c>
      <c r="E13" s="127">
        <f t="shared" si="0"/>
        <v>26.750483870967741</v>
      </c>
      <c r="F13" s="168">
        <v>45</v>
      </c>
      <c r="G13" s="50">
        <f>'Model data'!L11+'Model data'!M11*E13+'Model data'!N11*D13</f>
        <v>0.69233634471330341</v>
      </c>
      <c r="H13" s="50">
        <f>IF(Introduction!$D$11="AIDS",'Model data'!H35,'Model data'!D35)</f>
        <v>0.31494301579263917</v>
      </c>
      <c r="I13" s="47">
        <f>-0.5*LN(1+(G13/H13-1/IF(Introduction!$D$11="AIDS",'Model data'!H$26,'Model data'!$D$26))/(1-G13))</f>
        <v>-0.71374859272518498</v>
      </c>
      <c r="J13" s="191">
        <f>IF(Introduction!$D$11="AIDS",1-(1+EXP(2*(I13+IF(Introduction!D$12="45q15",'Model data'!$H$3,'Model data'!$H$6))))/(1+EXP(2*(I13+'Model data'!$H$12))),1-(1+EXP(2*(I13+IF(Introduction!D$12="45q15",'Model data'!$C$24,'Model data'!$C$27))))/(1+EXP(2*(I13+'Model data'!$C$33))))</f>
        <v>0.12766823822270257</v>
      </c>
      <c r="K13" s="192" t="e">
        <f>IF(T13&lt;T12,T13,NA())</f>
        <v>#N/A</v>
      </c>
      <c r="L13" s="21"/>
      <c r="M13" s="26" t="s">
        <v>14</v>
      </c>
      <c r="N13" s="40">
        <f t="shared" si="8"/>
        <v>42.5</v>
      </c>
      <c r="O13" s="27">
        <f t="shared" si="1"/>
        <v>0.66853495251440131</v>
      </c>
      <c r="P13" s="27">
        <f t="shared" si="2"/>
        <v>0.20187068184778292</v>
      </c>
      <c r="Q13" s="27">
        <f t="shared" si="3"/>
        <v>0.39915379221420827</v>
      </c>
      <c r="R13" s="40">
        <f t="shared" si="4"/>
        <v>21.25</v>
      </c>
      <c r="S13" s="28">
        <f t="shared" si="5"/>
        <v>12.767981915448074</v>
      </c>
      <c r="T13" s="38">
        <f t="shared" si="6"/>
        <v>1986.8758537009903</v>
      </c>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15" customHeight="1">
      <c r="A14" s="29" t="s">
        <v>15</v>
      </c>
      <c r="B14" s="185">
        <v>413380</v>
      </c>
      <c r="C14" s="185">
        <v>233700</v>
      </c>
      <c r="D14" s="30">
        <f t="shared" si="7"/>
        <v>0.56533939716483628</v>
      </c>
      <c r="E14" s="39">
        <f t="shared" si="0"/>
        <v>26.750483870967741</v>
      </c>
      <c r="F14" s="135">
        <v>50</v>
      </c>
      <c r="G14" s="30">
        <f>'Model data'!L12+'Model data'!M12*E14+'Model data'!N12*D14</f>
        <v>0.58268401413812798</v>
      </c>
      <c r="H14" s="30">
        <f>IF(Introduction!$D$11="AIDS",'Model data'!H36,'Model data'!D36)</f>
        <v>0.20115189958564808</v>
      </c>
      <c r="I14" s="31">
        <f>-0.5*LN(1+(G14/H14-1/IF(Introduction!$D$11="AIDS",'Model data'!H$26,'Model data'!$D$26))/(1-G14))</f>
        <v>-0.80566173530399432</v>
      </c>
      <c r="J14" s="193">
        <f>IF(Introduction!$D$11="AIDS",1-(1+EXP(2*(I14+IF(Introduction!D$12="45q15",'Model data'!$H$3,'Model data'!$H$6))))/(1+EXP(2*(I14+'Model data'!$H$12))),1-(1+EXP(2*(I14+IF(Introduction!D$12="45q15",'Model data'!$C$24,'Model data'!$C$27))))/(1+EXP(2*(I14+'Model data'!$C$33))))</f>
        <v>0.1096686097000813</v>
      </c>
      <c r="K14" s="194" t="e">
        <f>IF(T14&lt;T13,T14,NA())</f>
        <v>#N/A</v>
      </c>
      <c r="L14" s="21"/>
      <c r="M14" s="29" t="s">
        <v>15</v>
      </c>
      <c r="N14" s="41">
        <f t="shared" si="8"/>
        <v>47.5</v>
      </c>
      <c r="O14" s="30">
        <f t="shared" si="1"/>
        <v>0.56533939716483628</v>
      </c>
      <c r="P14" s="30">
        <f t="shared" si="2"/>
        <v>0.1079731150063456</v>
      </c>
      <c r="Q14" s="30">
        <f t="shared" si="3"/>
        <v>0.55184799757832037</v>
      </c>
      <c r="R14" s="41">
        <f t="shared" si="4"/>
        <v>23.75</v>
      </c>
      <c r="S14" s="31">
        <f t="shared" si="5"/>
        <v>10.643610057514891</v>
      </c>
      <c r="T14" s="39">
        <f t="shared" si="6"/>
        <v>1989.0002255589234</v>
      </c>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15" customHeight="1">
      <c r="A15" s="13"/>
      <c r="B15" s="13"/>
      <c r="C15" s="13"/>
      <c r="D15" s="13"/>
      <c r="E15" s="13"/>
      <c r="F15" s="13"/>
      <c r="G15" s="13"/>
      <c r="H15" s="13"/>
      <c r="I15" s="13"/>
      <c r="J15" s="13"/>
      <c r="K15" s="15"/>
      <c r="L15" s="77"/>
      <c r="M15" s="13"/>
      <c r="N15" s="13"/>
      <c r="O15" s="13"/>
      <c r="P15" s="13"/>
      <c r="Q15" s="13"/>
      <c r="R15" s="13"/>
      <c r="S15" s="13"/>
      <c r="T15" s="13"/>
      <c r="U15" s="13"/>
      <c r="V15" s="13"/>
      <c r="W15" s="13"/>
      <c r="X15" s="13"/>
      <c r="Y15" s="1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ht="15" customHeight="1">
      <c r="A16" s="141"/>
      <c r="B16" s="142"/>
      <c r="C16" s="213" t="s">
        <v>118</v>
      </c>
      <c r="D16" s="213" t="s">
        <v>122</v>
      </c>
      <c r="E16" s="213" t="s">
        <v>115</v>
      </c>
      <c r="F16" s="22"/>
      <c r="G16" s="142"/>
      <c r="H16" s="142"/>
      <c r="I16" s="142"/>
      <c r="J16" s="22" t="s">
        <v>113</v>
      </c>
      <c r="K16" s="142"/>
      <c r="L16" s="77"/>
      <c r="M16" s="22" t="s">
        <v>0</v>
      </c>
      <c r="N16" s="22" t="s">
        <v>29</v>
      </c>
      <c r="O16" s="22" t="s">
        <v>3</v>
      </c>
      <c r="P16" s="22" t="s">
        <v>30</v>
      </c>
      <c r="Q16" s="22" t="s">
        <v>56</v>
      </c>
      <c r="R16" s="22" t="s">
        <v>16</v>
      </c>
      <c r="S16" s="22" t="s">
        <v>31</v>
      </c>
      <c r="T16" s="62"/>
      <c r="U16" s="13"/>
      <c r="V16" s="13"/>
      <c r="W16" s="13"/>
      <c r="X16" s="13"/>
      <c r="Y16" s="1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ht="15" customHeight="1">
      <c r="A17" s="32" t="s">
        <v>0</v>
      </c>
      <c r="B17" s="32" t="s">
        <v>3</v>
      </c>
      <c r="C17" s="218"/>
      <c r="D17" s="216"/>
      <c r="E17" s="214"/>
      <c r="F17" s="32" t="s">
        <v>0</v>
      </c>
      <c r="G17" s="139" t="s">
        <v>39</v>
      </c>
      <c r="H17" s="33" t="s">
        <v>30</v>
      </c>
      <c r="I17" s="32" t="s">
        <v>4</v>
      </c>
      <c r="J17" s="32" t="s">
        <v>114</v>
      </c>
      <c r="K17" s="140"/>
      <c r="L17" s="77"/>
      <c r="M17" s="32" t="s">
        <v>51</v>
      </c>
      <c r="N17" s="32" t="s">
        <v>50</v>
      </c>
      <c r="O17" s="32" t="s">
        <v>53</v>
      </c>
      <c r="P17" s="32" t="s">
        <v>54</v>
      </c>
      <c r="Q17" s="32" t="s">
        <v>55</v>
      </c>
      <c r="R17" s="32" t="s">
        <v>62</v>
      </c>
      <c r="S17" s="32" t="s">
        <v>57</v>
      </c>
      <c r="T17" s="32" t="s">
        <v>6</v>
      </c>
      <c r="U17" s="13"/>
      <c r="V17" s="13"/>
      <c r="W17" s="13"/>
      <c r="X17" s="13"/>
      <c r="Y17" s="1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ht="15" customHeight="1">
      <c r="A18" s="145" t="s">
        <v>51</v>
      </c>
      <c r="B18" s="145" t="s">
        <v>35</v>
      </c>
      <c r="C18" s="219"/>
      <c r="D18" s="217"/>
      <c r="E18" s="215"/>
      <c r="F18" s="34" t="s">
        <v>17</v>
      </c>
      <c r="G18" s="24" t="s">
        <v>38</v>
      </c>
      <c r="H18" s="170" t="s">
        <v>40</v>
      </c>
      <c r="I18" s="33" t="s">
        <v>58</v>
      </c>
      <c r="J18" s="128" t="str">
        <f>Introduction!D12</f>
        <v>30q30</v>
      </c>
      <c r="K18" s="37" t="s">
        <v>6</v>
      </c>
      <c r="L18" s="77"/>
      <c r="M18" s="73"/>
      <c r="N18" s="34" t="s">
        <v>41</v>
      </c>
      <c r="O18" s="161" t="s">
        <v>35</v>
      </c>
      <c r="P18" s="34" t="s">
        <v>46</v>
      </c>
      <c r="Q18" s="161" t="s">
        <v>36</v>
      </c>
      <c r="R18" s="161" t="s">
        <v>47</v>
      </c>
      <c r="S18" s="34" t="s">
        <v>48</v>
      </c>
      <c r="T18" s="73"/>
      <c r="U18" s="13"/>
      <c r="V18" s="13"/>
      <c r="W18" s="13"/>
      <c r="X18" s="13"/>
      <c r="Y18" s="1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15" customHeight="1">
      <c r="A19" s="26" t="s">
        <v>59</v>
      </c>
      <c r="B19" s="49">
        <f>D6</f>
        <v>0.97324773162407396</v>
      </c>
      <c r="C19" s="186">
        <v>7.0000000000000007E-2</v>
      </c>
      <c r="D19" s="50">
        <f>B19*(1-(1-(1-Introduction!$D$14*C19)/(1+(1-Introduction!$D$15)/Introduction!$D$15*C19))*0.5)</f>
        <v>0.9510564152678247</v>
      </c>
      <c r="E19" s="126">
        <f t="shared" ref="E19:E27" si="9">MBAR</f>
        <v>26.750483870967741</v>
      </c>
      <c r="F19" s="168">
        <v>10</v>
      </c>
      <c r="G19" s="50">
        <f>IF(C19&gt;0.05,'Model data'!L17+'Model data'!M17*E19+'Model data'!N17*D19,'Model data'!L4+'Model data'!M4*E19+'Model data'!N4*D19)</f>
        <v>0.90623869800718559</v>
      </c>
      <c r="H19" s="50">
        <f>'Model data'!H28</f>
        <v>0.72467562410872377</v>
      </c>
      <c r="I19" s="51">
        <f>-0.5*LN(1+(G19/H19-1/'Model data'!H$26)/(1-G19))</f>
        <v>-0.12657167532578947</v>
      </c>
      <c r="J19" s="189">
        <f>1-(1+EXP(2*(I19+IF(Introduction!D$12="45q15",'Model data'!$H$3,'Model data'!$H$6))))/(1+EXP(2*(I19+'Model data'!$H$12)))</f>
        <v>0.29145842842538505</v>
      </c>
      <c r="K19" s="190">
        <f>T19</f>
        <v>1996.0208676244015</v>
      </c>
      <c r="L19" s="77"/>
      <c r="M19" s="26" t="s">
        <v>59</v>
      </c>
      <c r="N19" s="40">
        <f>7.5</f>
        <v>7.5</v>
      </c>
      <c r="O19" s="27">
        <f t="shared" ref="O19:O27" si="10">D19</f>
        <v>0.9510564152678247</v>
      </c>
      <c r="P19" s="27">
        <f t="shared" ref="P19:P27" si="11">(1-(MBAR+N19)/80)/(1-MBAR/80)</f>
        <v>0.85915364973784403</v>
      </c>
      <c r="Q19" s="27">
        <f t="shared" ref="Q19:Q27" si="12">LN(O19/P19)/3</f>
        <v>3.3875202123488081E-2</v>
      </c>
      <c r="R19" s="40">
        <f t="shared" ref="R19:R27" si="13">N19/2</f>
        <v>3.75</v>
      </c>
      <c r="S19" s="28">
        <f t="shared" ref="S19:S27" si="14">R19*(1-Q19)</f>
        <v>3.6229679920369198</v>
      </c>
      <c r="T19" s="38">
        <f t="shared" ref="T19:T27" si="15">Date_of_survey-S19</f>
        <v>1996.0208676244015</v>
      </c>
      <c r="U19" s="13"/>
      <c r="V19" s="13"/>
      <c r="W19" s="13"/>
      <c r="X19" s="13"/>
      <c r="Y19" s="1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ht="15" customHeight="1">
      <c r="A20" s="26" t="s">
        <v>8</v>
      </c>
      <c r="B20" s="50">
        <f t="shared" ref="B20:B27" si="16">D7</f>
        <v>0.9560180196820901</v>
      </c>
      <c r="C20" s="187">
        <v>0.01</v>
      </c>
      <c r="D20" s="50">
        <f>B20*(1-(1-(1-Introduction!$D$14*C20)/(1+(1-Introduction!$D$15)/Introduction!$D$15*C20))*0.75)</f>
        <v>0.95125381028168099</v>
      </c>
      <c r="E20" s="127">
        <f t="shared" si="9"/>
        <v>26.750483870967741</v>
      </c>
      <c r="F20" s="168">
        <v>15</v>
      </c>
      <c r="G20" s="50">
        <f>IF(C20&gt;0.05,'Model data'!L18+'Model data'!M18*E20+'Model data'!N18*D20,'Model data'!L5+'Model data'!M5*E20+'Model data'!N5*D20)</f>
        <v>0.94566568736986234</v>
      </c>
      <c r="H20" s="50">
        <f>'Model data'!H29</f>
        <v>0.6912956536783974</v>
      </c>
      <c r="I20" s="52">
        <f>-0.5*LN(1+(G20/H20-1/'Model data'!H$26)/(1-G20))</f>
        <v>-0.64847431510443199</v>
      </c>
      <c r="J20" s="191">
        <f>1-(1+EXP(2*(I20+IF(Introduction!D$12="45q15",'Model data'!$H$3,'Model data'!$H$6))))/(1+EXP(2*(I20+'Model data'!$H$12)))</f>
        <v>0.14178039014430976</v>
      </c>
      <c r="K20" s="192">
        <f>T20</f>
        <v>1993.8471072581578</v>
      </c>
      <c r="L20" s="77"/>
      <c r="M20" s="26" t="s">
        <v>8</v>
      </c>
      <c r="N20" s="40">
        <f>N19+5</f>
        <v>12.5</v>
      </c>
      <c r="O20" s="27">
        <f t="shared" si="10"/>
        <v>0.95125381028168099</v>
      </c>
      <c r="P20" s="27">
        <f t="shared" si="11"/>
        <v>0.76525608289640679</v>
      </c>
      <c r="Q20" s="27">
        <f t="shared" si="12"/>
        <v>7.2523462675137151E-2</v>
      </c>
      <c r="R20" s="40">
        <f t="shared" si="13"/>
        <v>6.25</v>
      </c>
      <c r="S20" s="28">
        <f t="shared" si="14"/>
        <v>5.7967283582803928</v>
      </c>
      <c r="T20" s="38">
        <f t="shared" si="15"/>
        <v>1993.8471072581578</v>
      </c>
      <c r="U20" s="13"/>
      <c r="V20" s="13"/>
      <c r="W20" s="13"/>
      <c r="X20" s="13"/>
      <c r="Y20" s="1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15" customHeight="1">
      <c r="A21" s="26" t="s">
        <v>9</v>
      </c>
      <c r="B21" s="50">
        <f t="shared" si="16"/>
        <v>0.93357639012998772</v>
      </c>
      <c r="C21" s="187">
        <v>0</v>
      </c>
      <c r="D21" s="50">
        <f>B21*(1-Introduction!$D$14*C21)/(1+(1-Introduction!$D$15)/Introduction!$D$15*C21)</f>
        <v>0.93357639012998772</v>
      </c>
      <c r="E21" s="127">
        <f t="shared" si="9"/>
        <v>26.750483870967741</v>
      </c>
      <c r="F21" s="168">
        <v>20</v>
      </c>
      <c r="G21" s="50">
        <f>IF(C21&gt;0.05,'Model data'!L19+'Model data'!M19*E21+'Model data'!N19*D21,'Model data'!L6+'Model data'!M6*E21+'Model data'!N6*D21)</f>
        <v>0.93080095061181212</v>
      </c>
      <c r="H21" s="50">
        <f>'Model data'!H30</f>
        <v>0.66450945804880357</v>
      </c>
      <c r="I21" s="52">
        <f>-0.5*LN(1+(G21/H21-1/'Model data'!H$26)/(1-G21))</f>
        <v>-0.63498188941958189</v>
      </c>
      <c r="J21" s="191">
        <f>1-(1+EXP(2*(I21+IF(Introduction!D$12="45q15",'Model data'!$H$3,'Model data'!$H$6))))/(1+EXP(2*(I21+'Model data'!$H$12)))</f>
        <v>0.14483696206549845</v>
      </c>
      <c r="K21" s="192">
        <f>T21</f>
        <v>1991.8555174802964</v>
      </c>
      <c r="L21" s="77"/>
      <c r="M21" s="26" t="s">
        <v>9</v>
      </c>
      <c r="N21" s="40">
        <f t="shared" ref="N21:N27" si="17">N20+5</f>
        <v>17.5</v>
      </c>
      <c r="O21" s="27">
        <f t="shared" si="10"/>
        <v>0.93357639012998772</v>
      </c>
      <c r="P21" s="27">
        <f t="shared" si="11"/>
        <v>0.67135851605496943</v>
      </c>
      <c r="Q21" s="27">
        <f t="shared" si="12"/>
        <v>0.10990649872664027</v>
      </c>
      <c r="R21" s="40">
        <f t="shared" si="13"/>
        <v>8.75</v>
      </c>
      <c r="S21" s="28">
        <f t="shared" si="14"/>
        <v>7.7883181361418981</v>
      </c>
      <c r="T21" s="38">
        <f t="shared" si="15"/>
        <v>1991.8555174802964</v>
      </c>
      <c r="U21" s="13"/>
      <c r="V21" s="13"/>
      <c r="W21" s="13"/>
      <c r="X21" s="13"/>
      <c r="Y21" s="1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15" customHeight="1">
      <c r="A22" s="26" t="s">
        <v>10</v>
      </c>
      <c r="B22" s="50">
        <f t="shared" si="16"/>
        <v>0.90799345707217494</v>
      </c>
      <c r="C22" s="187">
        <v>0</v>
      </c>
      <c r="D22" s="50">
        <f>B22*(1-Introduction!$D$14*C22)/(1+(1-Introduction!$D$15)/Introduction!$D$15*C22)</f>
        <v>0.90799345707217494</v>
      </c>
      <c r="E22" s="127">
        <f t="shared" si="9"/>
        <v>26.750483870967741</v>
      </c>
      <c r="F22" s="168">
        <v>25</v>
      </c>
      <c r="G22" s="50">
        <f>IF(C22&gt;0.05,'Model data'!L20+'Model data'!M20*E22+'Model data'!N20*D22,'Model data'!L7+'Model data'!M7*E22+'Model data'!N7*D22)</f>
        <v>0.90819471785987294</v>
      </c>
      <c r="H22" s="50">
        <f>'Model data'!H31</f>
        <v>0.6281056364085158</v>
      </c>
      <c r="I22" s="52">
        <f>-0.5*LN(1+(G22/H22-1/'Model data'!H$26)/(1-G22))</f>
        <v>-0.61517627467607849</v>
      </c>
      <c r="J22" s="191">
        <f>1-(1+EXP(2*(I22+IF(Introduction!D$12="45q15",'Model data'!$H$3,'Model data'!$H$6))))/(1+EXP(2*(I22+'Model data'!$H$12)))</f>
        <v>0.14941049607132573</v>
      </c>
      <c r="K22" s="192">
        <f>T22</f>
        <v>1990.0910719402166</v>
      </c>
      <c r="L22" s="77"/>
      <c r="M22" s="26" t="s">
        <v>10</v>
      </c>
      <c r="N22" s="40">
        <f t="shared" si="17"/>
        <v>22.5</v>
      </c>
      <c r="O22" s="27">
        <f t="shared" si="10"/>
        <v>0.90799345707217494</v>
      </c>
      <c r="P22" s="27">
        <f t="shared" si="11"/>
        <v>0.57746094921353208</v>
      </c>
      <c r="Q22" s="27">
        <f t="shared" si="12"/>
        <v>0.15086545100252158</v>
      </c>
      <c r="R22" s="40">
        <f t="shared" si="13"/>
        <v>11.25</v>
      </c>
      <c r="S22" s="28">
        <f t="shared" si="14"/>
        <v>9.5527636762216321</v>
      </c>
      <c r="T22" s="38">
        <f t="shared" si="15"/>
        <v>1990.0910719402166</v>
      </c>
      <c r="U22" s="13"/>
      <c r="V22" s="13"/>
      <c r="W22" s="13"/>
      <c r="X22" s="13"/>
      <c r="Y22" s="1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15" customHeight="1">
      <c r="A23" s="26" t="s">
        <v>11</v>
      </c>
      <c r="B23" s="50">
        <f t="shared" si="16"/>
        <v>0.87709853249475889</v>
      </c>
      <c r="C23" s="187">
        <v>0</v>
      </c>
      <c r="D23" s="50">
        <f>B23*(1-Introduction!$D$14*C23)/(1+(1-Introduction!$D$15)/Introduction!$D$15*C23)</f>
        <v>0.87709853249475889</v>
      </c>
      <c r="E23" s="127">
        <f t="shared" si="9"/>
        <v>26.750483870967741</v>
      </c>
      <c r="F23" s="168">
        <v>30</v>
      </c>
      <c r="G23" s="50">
        <f>IF(C23&gt;0.05,'Model data'!L21+'Model data'!M21*E23+'Model data'!N21*D23,'Model data'!L8+'Model data'!M8*E23+'Model data'!N8*D23)</f>
        <v>0.8819487726144587</v>
      </c>
      <c r="H23" s="50">
        <f>'Model data'!H32</f>
        <v>0.57834333925841475</v>
      </c>
      <c r="I23" s="52">
        <f>-0.5*LN(1+(G23/H23-1/'Model data'!H$26)/(1-G23))</f>
        <v>-0.6339414556907299</v>
      </c>
      <c r="J23" s="191">
        <f>1-(1+EXP(2*(I23+IF(Introduction!D$12="45q15",'Model data'!$H$3,'Model data'!$H$6))))/(1+EXP(2*(I23+'Model data'!$H$12)))</f>
        <v>0.14507465142304998</v>
      </c>
      <c r="K23" s="192">
        <f>IF(T23&lt;T22,T23,NA())</f>
        <v>1988.6229215950241</v>
      </c>
      <c r="L23" s="77"/>
      <c r="M23" s="26" t="s">
        <v>11</v>
      </c>
      <c r="N23" s="40">
        <f t="shared" si="17"/>
        <v>27.5</v>
      </c>
      <c r="O23" s="27">
        <f t="shared" si="10"/>
        <v>0.87709853249475889</v>
      </c>
      <c r="P23" s="27">
        <f t="shared" si="11"/>
        <v>0.48356338237209484</v>
      </c>
      <c r="Q23" s="27">
        <f t="shared" si="12"/>
        <v>0.19847898026077934</v>
      </c>
      <c r="R23" s="40">
        <f t="shared" si="13"/>
        <v>13.75</v>
      </c>
      <c r="S23" s="28">
        <f t="shared" si="14"/>
        <v>11.020914021414283</v>
      </c>
      <c r="T23" s="38">
        <f t="shared" si="15"/>
        <v>1988.6229215950241</v>
      </c>
      <c r="U23" s="13"/>
      <c r="V23" s="13"/>
      <c r="W23" s="13"/>
      <c r="X23" s="13"/>
      <c r="Y23" s="1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ht="15" customHeight="1">
      <c r="A24" s="26" t="s">
        <v>12</v>
      </c>
      <c r="B24" s="50">
        <f t="shared" si="16"/>
        <v>0.82438699550503014</v>
      </c>
      <c r="C24" s="187">
        <v>0</v>
      </c>
      <c r="D24" s="50">
        <f>B24*(1-Introduction!$D$14*C24)/(1+(1-Introduction!$D$15)/Introduction!$D$15*C24)</f>
        <v>0.82438699550503014</v>
      </c>
      <c r="E24" s="127">
        <f t="shared" si="9"/>
        <v>26.750483870967741</v>
      </c>
      <c r="F24" s="168">
        <v>35</v>
      </c>
      <c r="G24" s="50">
        <f>'Model data'!L9+'Model data'!M9*E24+'Model data'!N9*D24</f>
        <v>0.83559242875357609</v>
      </c>
      <c r="H24" s="50">
        <f>'Model data'!H33</f>
        <v>0.51100508923853971</v>
      </c>
      <c r="I24" s="52">
        <f>-0.5*LN(1+(G24/H24-1/'Model data'!H$26)/(1-G24))</f>
        <v>-0.6269379074901763</v>
      </c>
      <c r="J24" s="191">
        <f>1-(1+EXP(2*(I24+IF(Introduction!D$12="45q15",'Model data'!$H$3,'Model data'!$H$6))))/(1+EXP(2*(I24+'Model data'!$H$12)))</f>
        <v>0.14668204040311761</v>
      </c>
      <c r="K24" s="192">
        <f>IF(T24&lt;T23,T24,NA())</f>
        <v>1987.4528179565168</v>
      </c>
      <c r="L24" s="77"/>
      <c r="M24" s="26" t="s">
        <v>12</v>
      </c>
      <c r="N24" s="40">
        <f t="shared" si="17"/>
        <v>32.5</v>
      </c>
      <c r="O24" s="27">
        <f t="shared" si="10"/>
        <v>0.82438699550503014</v>
      </c>
      <c r="P24" s="27">
        <f t="shared" si="11"/>
        <v>0.38966581553065754</v>
      </c>
      <c r="Q24" s="27">
        <f t="shared" si="12"/>
        <v>0.2497835286202211</v>
      </c>
      <c r="R24" s="40">
        <f t="shared" si="13"/>
        <v>16.25</v>
      </c>
      <c r="S24" s="28">
        <f t="shared" si="14"/>
        <v>12.191017659921407</v>
      </c>
      <c r="T24" s="38">
        <f t="shared" si="15"/>
        <v>1987.4528179565168</v>
      </c>
      <c r="U24" s="13"/>
      <c r="V24" s="13"/>
      <c r="W24" s="13"/>
      <c r="X24" s="13"/>
      <c r="Y24" s="1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ht="15" customHeight="1">
      <c r="A25" s="26" t="s">
        <v>13</v>
      </c>
      <c r="B25" s="50">
        <f t="shared" si="16"/>
        <v>0.7690895435199866</v>
      </c>
      <c r="C25" s="187">
        <v>0</v>
      </c>
      <c r="D25" s="50">
        <f>B25*(1-Introduction!$D$14*C25)/(1+(1-Introduction!$D$15)/Introduction!$D$15*C25)</f>
        <v>0.7690895435199866</v>
      </c>
      <c r="E25" s="127">
        <f t="shared" si="9"/>
        <v>26.750483870967741</v>
      </c>
      <c r="F25" s="168">
        <v>40</v>
      </c>
      <c r="G25" s="50">
        <f>'Model data'!L10+'Model data'!M10*E25+'Model data'!N10*D25</f>
        <v>0.78907317163091251</v>
      </c>
      <c r="H25" s="50">
        <f>'Model data'!H34</f>
        <v>0.4225352891437606</v>
      </c>
      <c r="I25" s="52">
        <f>-0.5*LN(1+(G25/H25-1/'Model data'!H$26)/(1-G25))</f>
        <v>-0.69971634494981361</v>
      </c>
      <c r="J25" s="191">
        <f>1-(1+EXP(2*(I25+IF(Introduction!D$12="45q15",'Model data'!$H$3,'Model data'!$H$6))))/(1+EXP(2*(I25+'Model data'!$H$12)))</f>
        <v>0.1306078608925183</v>
      </c>
      <c r="K25" s="192">
        <f>IF(T25&lt;T24,T25,NA())</f>
        <v>1986.8665306176206</v>
      </c>
      <c r="L25" s="77"/>
      <c r="M25" s="26" t="s">
        <v>13</v>
      </c>
      <c r="N25" s="40">
        <f t="shared" si="17"/>
        <v>37.5</v>
      </c>
      <c r="O25" s="27">
        <f t="shared" si="10"/>
        <v>0.7690895435199866</v>
      </c>
      <c r="P25" s="27">
        <f t="shared" si="11"/>
        <v>0.29576824868922019</v>
      </c>
      <c r="Q25" s="27">
        <f t="shared" si="12"/>
        <v>0.31854373339638725</v>
      </c>
      <c r="R25" s="40">
        <f t="shared" si="13"/>
        <v>18.75</v>
      </c>
      <c r="S25" s="28">
        <f t="shared" si="14"/>
        <v>12.777304998817741</v>
      </c>
      <c r="T25" s="38">
        <f t="shared" si="15"/>
        <v>1986.8665306176206</v>
      </c>
      <c r="U25" s="13"/>
      <c r="V25" s="13"/>
      <c r="W25" s="13"/>
      <c r="X25" s="13"/>
      <c r="Y25" s="1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15" customHeight="1">
      <c r="A26" s="26" t="s">
        <v>14</v>
      </c>
      <c r="B26" s="50">
        <f t="shared" si="16"/>
        <v>0.66853495251440131</v>
      </c>
      <c r="C26" s="187">
        <v>0</v>
      </c>
      <c r="D26" s="50">
        <f>B26*(1-Introduction!$D$14*C26)/(1+(1-Introduction!$D$15)/Introduction!$D$15*C26)</f>
        <v>0.66853495251440131</v>
      </c>
      <c r="E26" s="127">
        <f t="shared" si="9"/>
        <v>26.750483870967741</v>
      </c>
      <c r="F26" s="168">
        <v>45</v>
      </c>
      <c r="G26" s="50">
        <f>'Model data'!L11+'Model data'!M11*E26+'Model data'!N11*D26</f>
        <v>0.69233634471330341</v>
      </c>
      <c r="H26" s="50">
        <f>'Model data'!H35</f>
        <v>0.31494301579263917</v>
      </c>
      <c r="I26" s="52">
        <f>-0.5*LN(1+(G26/H26-1/'Model data'!H$26)/(1-G26))</f>
        <v>-0.71374859272518498</v>
      </c>
      <c r="J26" s="191">
        <f>1-(1+EXP(2*(I26+IF(Introduction!D$12="45q15",'Model data'!$H$3,'Model data'!$H$6))))/(1+EXP(2*(I26+'Model data'!$H$12)))</f>
        <v>0.12766823822270257</v>
      </c>
      <c r="K26" s="192" t="e">
        <f>IF(T26&lt;T25,T26,NA())</f>
        <v>#N/A</v>
      </c>
      <c r="L26" s="77"/>
      <c r="M26" s="26" t="s">
        <v>14</v>
      </c>
      <c r="N26" s="40">
        <f t="shared" si="17"/>
        <v>42.5</v>
      </c>
      <c r="O26" s="27">
        <f t="shared" si="10"/>
        <v>0.66853495251440131</v>
      </c>
      <c r="P26" s="27">
        <f t="shared" si="11"/>
        <v>0.20187068184778292</v>
      </c>
      <c r="Q26" s="27">
        <f t="shared" si="12"/>
        <v>0.39915379221420827</v>
      </c>
      <c r="R26" s="40">
        <f t="shared" si="13"/>
        <v>21.25</v>
      </c>
      <c r="S26" s="28">
        <f t="shared" si="14"/>
        <v>12.767981915448074</v>
      </c>
      <c r="T26" s="38">
        <f t="shared" si="15"/>
        <v>1986.8758537009903</v>
      </c>
      <c r="U26" s="13"/>
      <c r="V26" s="13"/>
      <c r="W26" s="13"/>
      <c r="X26" s="13"/>
      <c r="Y26" s="1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15" customHeight="1">
      <c r="A27" s="29" t="s">
        <v>15</v>
      </c>
      <c r="B27" s="30">
        <f t="shared" si="16"/>
        <v>0.56533939716483628</v>
      </c>
      <c r="C27" s="188">
        <v>0</v>
      </c>
      <c r="D27" s="30">
        <f>B27*(1-Introduction!$D$14*C27)/(1+(1-Introduction!$D$15)/Introduction!$D$15*C27)</f>
        <v>0.56533939716483628</v>
      </c>
      <c r="E27" s="39">
        <f t="shared" si="9"/>
        <v>26.750483870967741</v>
      </c>
      <c r="F27" s="135">
        <v>50</v>
      </c>
      <c r="G27" s="30">
        <f>'Model data'!L12+'Model data'!M12*E27+'Model data'!N12*D27</f>
        <v>0.58268401413812798</v>
      </c>
      <c r="H27" s="30">
        <f>'Model data'!H36</f>
        <v>0.20115189958564808</v>
      </c>
      <c r="I27" s="53">
        <f>-0.5*LN(1+(G27/H27-1/'Model data'!H$26)/(1-G27))</f>
        <v>-0.80566173530399432</v>
      </c>
      <c r="J27" s="193">
        <f>1-(1+EXP(2*(I27+IF(Introduction!D$12="45q15",'Model data'!$H$3,'Model data'!$H$6))))/(1+EXP(2*(I27+'Model data'!$H$12)))</f>
        <v>0.1096686097000813</v>
      </c>
      <c r="K27" s="194" t="e">
        <f>IF(T27&lt;T26,T27,NA())</f>
        <v>#N/A</v>
      </c>
      <c r="L27" s="77"/>
      <c r="M27" s="29" t="s">
        <v>15</v>
      </c>
      <c r="N27" s="41">
        <f t="shared" si="17"/>
        <v>47.5</v>
      </c>
      <c r="O27" s="30">
        <f t="shared" si="10"/>
        <v>0.56533939716483628</v>
      </c>
      <c r="P27" s="30">
        <f t="shared" si="11"/>
        <v>0.1079731150063456</v>
      </c>
      <c r="Q27" s="30">
        <f t="shared" si="12"/>
        <v>0.55184799757832037</v>
      </c>
      <c r="R27" s="41">
        <f t="shared" si="13"/>
        <v>23.75</v>
      </c>
      <c r="S27" s="31">
        <f t="shared" si="14"/>
        <v>10.643610057514891</v>
      </c>
      <c r="T27" s="39">
        <f t="shared" si="15"/>
        <v>1989.0002255589234</v>
      </c>
      <c r="U27" s="13"/>
      <c r="V27" s="13"/>
      <c r="W27" s="13"/>
      <c r="X27" s="13"/>
      <c r="Y27" s="1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ht="15" customHeight="1">
      <c r="A28" s="13"/>
      <c r="B28" s="13"/>
      <c r="C28" s="13"/>
      <c r="D28" s="13"/>
      <c r="E28" s="13"/>
      <c r="F28" s="13"/>
      <c r="G28" s="13"/>
      <c r="H28" s="13"/>
      <c r="I28" s="13"/>
      <c r="J28" s="13"/>
      <c r="K28" s="15"/>
      <c r="L28" s="77"/>
      <c r="M28" s="13"/>
      <c r="N28" s="13"/>
      <c r="O28" s="13"/>
      <c r="P28" s="13"/>
      <c r="Q28" s="13"/>
      <c r="R28" s="13"/>
      <c r="S28" s="13"/>
      <c r="T28" s="13"/>
      <c r="U28" s="13"/>
      <c r="V28" s="13"/>
      <c r="W28" s="13"/>
      <c r="X28" s="13"/>
      <c r="Y28" s="1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ht="15" customHeight="1">
      <c r="A29" s="15" t="s">
        <v>49</v>
      </c>
      <c r="H29" s="15"/>
      <c r="J29" s="69"/>
      <c r="K29" s="15"/>
      <c r="L29" s="78"/>
      <c r="M29" s="15"/>
      <c r="N29" s="3"/>
      <c r="O29" s="3"/>
      <c r="P29" s="3"/>
      <c r="Q29" s="3"/>
      <c r="R29" s="13"/>
      <c r="S29" s="3"/>
      <c r="T29" s="13"/>
      <c r="U29" s="13"/>
      <c r="V29" s="13"/>
      <c r="W29" s="13"/>
      <c r="X29" s="13"/>
      <c r="Y29" s="1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59" ht="15" customHeight="1">
      <c r="A30" s="54" t="s">
        <v>78</v>
      </c>
      <c r="B30" s="3"/>
      <c r="C30" s="56" t="s">
        <v>85</v>
      </c>
      <c r="D30" s="220" t="s">
        <v>84</v>
      </c>
      <c r="E30" s="220"/>
      <c r="F30" s="3"/>
      <c r="G30" s="13"/>
      <c r="H30" s="13"/>
      <c r="I30" s="13"/>
      <c r="J30" s="13"/>
      <c r="K30" s="15"/>
      <c r="L30" s="15"/>
      <c r="M30" s="15"/>
      <c r="N30" s="15"/>
      <c r="O30" s="15"/>
      <c r="P30" s="15"/>
      <c r="Q30" s="15"/>
      <c r="R30" s="15"/>
      <c r="S30" s="15"/>
      <c r="T30" s="15"/>
      <c r="U30" s="15"/>
      <c r="V30" s="15"/>
      <c r="W30" s="15"/>
      <c r="X30" s="15"/>
      <c r="Y30" s="15"/>
      <c r="Z30" s="15"/>
      <c r="AA30" s="15"/>
      <c r="AB30" s="15"/>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9" ht="15" customHeight="1">
      <c r="A31" s="22" t="s">
        <v>0</v>
      </c>
      <c r="B31" s="22" t="s">
        <v>45</v>
      </c>
      <c r="C31" s="22" t="s">
        <v>16</v>
      </c>
      <c r="D31" s="62"/>
      <c r="E31" s="79"/>
      <c r="F31" s="79"/>
      <c r="G31" s="13"/>
      <c r="H31" s="13"/>
      <c r="I31" s="13"/>
      <c r="J31" s="13"/>
      <c r="K31" s="15"/>
      <c r="L31" s="15"/>
      <c r="M31" s="15"/>
      <c r="N31" s="15"/>
      <c r="O31" s="15"/>
      <c r="P31" s="15"/>
      <c r="Q31" s="15"/>
      <c r="R31" s="15"/>
      <c r="S31" s="15"/>
      <c r="T31" s="15"/>
      <c r="U31" s="15"/>
      <c r="V31" s="15"/>
      <c r="W31" s="15"/>
      <c r="X31" s="15"/>
      <c r="Y31" s="15"/>
      <c r="Z31" s="15"/>
      <c r="AA31" s="15"/>
      <c r="AB31" s="15"/>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9" ht="15" customHeight="1">
      <c r="A32" s="32" t="s">
        <v>51</v>
      </c>
      <c r="B32" s="33" t="s">
        <v>44</v>
      </c>
      <c r="C32" s="32" t="s">
        <v>50</v>
      </c>
      <c r="D32" s="80"/>
      <c r="E32" s="79"/>
      <c r="F32" s="79"/>
      <c r="G32" s="13"/>
      <c r="H32" s="13"/>
      <c r="I32" s="13"/>
      <c r="J32" s="13"/>
      <c r="K32" s="15"/>
      <c r="L32" s="15"/>
      <c r="M32" s="15"/>
      <c r="N32" s="15"/>
      <c r="O32" s="15"/>
      <c r="P32" s="15"/>
      <c r="Q32" s="15"/>
      <c r="R32" s="15"/>
      <c r="S32" s="15"/>
      <c r="T32" s="15"/>
      <c r="U32" s="15"/>
      <c r="V32" s="15"/>
      <c r="W32" s="15"/>
      <c r="X32" s="15"/>
      <c r="Y32" s="15"/>
      <c r="Z32" s="15"/>
      <c r="AA32" s="15"/>
      <c r="AB32" s="15"/>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ht="15" customHeight="1">
      <c r="A33" s="73"/>
      <c r="B33" s="23" t="s">
        <v>43</v>
      </c>
      <c r="C33" s="34" t="s">
        <v>41</v>
      </c>
      <c r="D33" s="23" t="s">
        <v>42</v>
      </c>
      <c r="E33" s="81"/>
      <c r="F33" s="81"/>
      <c r="G33" s="13"/>
      <c r="H33" s="13"/>
      <c r="I33" s="13"/>
      <c r="J33" s="13"/>
      <c r="K33" s="15"/>
      <c r="L33" s="15"/>
      <c r="M33" s="15"/>
      <c r="N33" s="15"/>
      <c r="O33" s="15"/>
      <c r="P33" s="15"/>
      <c r="Q33" s="15"/>
      <c r="R33" s="15"/>
      <c r="S33" s="15"/>
      <c r="T33" s="15"/>
      <c r="U33" s="15"/>
      <c r="V33" s="15"/>
      <c r="W33" s="15"/>
      <c r="X33" s="15"/>
      <c r="Y33" s="15"/>
      <c r="Z33" s="15"/>
      <c r="AA33" s="15"/>
      <c r="AB33" s="15"/>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ht="15" customHeight="1">
      <c r="A34" s="26" t="s">
        <v>9</v>
      </c>
      <c r="B34" s="183">
        <v>73600</v>
      </c>
      <c r="C34" s="26">
        <f>IF(D30="Age at interview",17,17.5)</f>
        <v>17</v>
      </c>
      <c r="D34" s="35">
        <f>B34*C34</f>
        <v>1251200</v>
      </c>
      <c r="E34" s="13"/>
      <c r="F34" s="13"/>
      <c r="G34" s="13"/>
      <c r="H34" s="13"/>
      <c r="I34" s="13"/>
      <c r="J34" s="13"/>
      <c r="K34" s="15"/>
      <c r="L34" s="15"/>
      <c r="M34" s="15"/>
      <c r="N34" s="15"/>
      <c r="O34" s="15"/>
      <c r="P34" s="15"/>
      <c r="Q34" s="15"/>
      <c r="R34" s="15"/>
      <c r="S34" s="15"/>
      <c r="T34" s="15"/>
      <c r="U34" s="15"/>
      <c r="V34" s="15"/>
      <c r="W34" s="15"/>
      <c r="X34" s="15"/>
      <c r="Y34" s="15"/>
      <c r="Z34" s="15"/>
      <c r="AA34" s="15"/>
      <c r="AB34" s="15"/>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ht="15" customHeight="1">
      <c r="A35" s="26" t="s">
        <v>10</v>
      </c>
      <c r="B35" s="183">
        <v>193400</v>
      </c>
      <c r="C35" s="26">
        <f>C34+5</f>
        <v>22</v>
      </c>
      <c r="D35" s="35">
        <f t="shared" ref="D35:D40" si="18">B35*C35</f>
        <v>4254800</v>
      </c>
      <c r="E35" s="13"/>
      <c r="F35" s="13"/>
      <c r="G35" s="13"/>
      <c r="H35" s="13"/>
      <c r="I35" s="13"/>
      <c r="J35" s="13"/>
      <c r="K35" s="15"/>
      <c r="L35" s="15"/>
      <c r="M35" s="15"/>
      <c r="N35" s="15"/>
      <c r="O35" s="15"/>
      <c r="P35" s="15"/>
      <c r="Q35" s="15"/>
      <c r="R35" s="15"/>
      <c r="S35" s="15"/>
      <c r="T35" s="15"/>
      <c r="U35" s="15"/>
      <c r="V35" s="15"/>
      <c r="W35" s="15"/>
      <c r="X35" s="15"/>
      <c r="Y35" s="15"/>
      <c r="Z35" s="15"/>
      <c r="AA35" s="15"/>
      <c r="AB35" s="15"/>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ht="15" customHeight="1">
      <c r="A36" s="26" t="s">
        <v>11</v>
      </c>
      <c r="B36" s="183">
        <v>170220</v>
      </c>
      <c r="C36" s="26">
        <f t="shared" ref="C36:C40" si="19">C35+5</f>
        <v>27</v>
      </c>
      <c r="D36" s="35">
        <f t="shared" si="18"/>
        <v>4595940</v>
      </c>
      <c r="E36" s="13"/>
      <c r="F36" s="13"/>
      <c r="G36" s="13"/>
      <c r="H36" s="15"/>
      <c r="I36" s="13"/>
      <c r="J36" s="13"/>
      <c r="K36" s="15"/>
      <c r="L36" s="15"/>
      <c r="M36" s="15"/>
      <c r="N36" s="15"/>
      <c r="O36" s="15"/>
      <c r="P36" s="15"/>
      <c r="Q36" s="15"/>
      <c r="R36" s="15"/>
      <c r="S36" s="15"/>
      <c r="T36" s="15"/>
      <c r="U36" s="15"/>
      <c r="V36" s="15"/>
      <c r="W36" s="15"/>
      <c r="X36" s="15"/>
      <c r="Y36" s="15"/>
      <c r="Z36" s="15"/>
      <c r="AA36" s="15"/>
      <c r="AB36" s="15"/>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ht="15" customHeight="1">
      <c r="A37" s="26" t="s">
        <v>12</v>
      </c>
      <c r="B37" s="183">
        <v>95180</v>
      </c>
      <c r="C37" s="26">
        <f t="shared" si="19"/>
        <v>32</v>
      </c>
      <c r="D37" s="35">
        <f t="shared" si="18"/>
        <v>3045760</v>
      </c>
      <c r="E37" s="13"/>
      <c r="F37" s="13"/>
      <c r="G37" s="13"/>
      <c r="H37" s="15"/>
      <c r="I37" s="15"/>
      <c r="J37" s="15"/>
      <c r="K37" s="15"/>
      <c r="L37" s="15"/>
      <c r="M37" s="15"/>
      <c r="N37" s="15"/>
      <c r="O37" s="15"/>
      <c r="P37" s="15"/>
      <c r="Q37" s="15"/>
      <c r="R37" s="15"/>
      <c r="S37" s="15"/>
      <c r="T37" s="15"/>
      <c r="U37" s="15"/>
      <c r="V37" s="15"/>
      <c r="W37" s="15"/>
      <c r="X37" s="15"/>
      <c r="Y37" s="15"/>
      <c r="Z37" s="15"/>
      <c r="AA37" s="15"/>
      <c r="AB37" s="15"/>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ht="15" customHeight="1">
      <c r="A38" s="26" t="s">
        <v>13</v>
      </c>
      <c r="B38" s="183">
        <v>56340</v>
      </c>
      <c r="C38" s="26">
        <f t="shared" si="19"/>
        <v>37</v>
      </c>
      <c r="D38" s="35">
        <f t="shared" si="18"/>
        <v>2084580</v>
      </c>
      <c r="E38" s="13"/>
      <c r="F38" s="13"/>
      <c r="G38" s="13"/>
      <c r="H38" s="15"/>
      <c r="I38" s="15"/>
      <c r="J38" s="15"/>
      <c r="K38" s="15"/>
      <c r="L38" s="15"/>
      <c r="M38" s="15"/>
      <c r="N38" s="15"/>
      <c r="O38" s="15"/>
      <c r="P38" s="15"/>
      <c r="Q38" s="15"/>
      <c r="R38" s="15"/>
      <c r="S38" s="15"/>
      <c r="T38" s="15"/>
      <c r="U38" s="15"/>
      <c r="V38" s="15"/>
      <c r="W38" s="15"/>
      <c r="X38" s="15"/>
      <c r="Y38" s="15"/>
      <c r="Z38" s="15"/>
      <c r="AA38" s="15"/>
      <c r="AB38" s="15"/>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ht="15" customHeight="1">
      <c r="A39" s="26" t="s">
        <v>14</v>
      </c>
      <c r="B39" s="183">
        <v>23240</v>
      </c>
      <c r="C39" s="26">
        <f t="shared" si="19"/>
        <v>42</v>
      </c>
      <c r="D39" s="35">
        <f t="shared" si="18"/>
        <v>976080</v>
      </c>
      <c r="E39" s="13"/>
      <c r="F39" s="13"/>
      <c r="G39" s="13"/>
      <c r="H39" s="15"/>
      <c r="I39" s="15"/>
      <c r="J39" s="15"/>
      <c r="K39" s="15"/>
      <c r="L39" s="15"/>
      <c r="M39" s="15"/>
      <c r="N39" s="15"/>
      <c r="O39" s="15"/>
      <c r="P39" s="15"/>
      <c r="Q39" s="15"/>
      <c r="R39" s="15"/>
      <c r="S39" s="15"/>
      <c r="T39" s="15"/>
      <c r="U39" s="15"/>
      <c r="V39" s="15"/>
      <c r="W39" s="15"/>
      <c r="X39" s="15"/>
      <c r="Y39" s="15"/>
      <c r="Z39" s="15"/>
      <c r="AA39" s="15"/>
      <c r="AB39" s="15"/>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spans="1:57" ht="15" customHeight="1">
      <c r="A40" s="26" t="s">
        <v>15</v>
      </c>
      <c r="B40" s="183">
        <v>8020</v>
      </c>
      <c r="C40" s="26">
        <f t="shared" si="19"/>
        <v>47</v>
      </c>
      <c r="D40" s="35">
        <f t="shared" si="18"/>
        <v>376940</v>
      </c>
      <c r="E40" s="13"/>
      <c r="F40" s="13"/>
      <c r="G40" s="13"/>
      <c r="H40" s="15"/>
      <c r="I40" s="15"/>
      <c r="J40" s="15"/>
      <c r="K40" s="15"/>
      <c r="L40" s="15"/>
      <c r="M40" s="15"/>
      <c r="N40" s="15"/>
      <c r="O40" s="15"/>
      <c r="P40" s="15"/>
      <c r="Q40" s="15"/>
      <c r="R40" s="15"/>
      <c r="S40" s="15"/>
      <c r="T40" s="15"/>
      <c r="U40" s="15"/>
      <c r="V40" s="15"/>
      <c r="W40" s="15"/>
      <c r="X40" s="15"/>
      <c r="Y40" s="15"/>
      <c r="Z40" s="15"/>
      <c r="AA40" s="15"/>
      <c r="AB40" s="15"/>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spans="1:57" ht="15" customHeight="1">
      <c r="A41" s="29" t="s">
        <v>27</v>
      </c>
      <c r="B41" s="36">
        <f>SUM(B34:B40)</f>
        <v>620000</v>
      </c>
      <c r="C41" s="41"/>
      <c r="D41" s="36">
        <f>SUM(D34:D40)</f>
        <v>16585300</v>
      </c>
      <c r="E41" s="13"/>
      <c r="F41" s="13"/>
      <c r="G41" s="13"/>
      <c r="H41" s="15"/>
      <c r="I41" s="15"/>
      <c r="J41" s="15"/>
      <c r="K41" s="15"/>
      <c r="L41" s="15"/>
      <c r="M41" s="15"/>
      <c r="N41" s="15"/>
      <c r="O41" s="15"/>
      <c r="P41" s="15"/>
      <c r="Q41" s="15"/>
      <c r="R41" s="15"/>
      <c r="S41" s="15"/>
      <c r="T41" s="15"/>
      <c r="U41" s="15"/>
      <c r="V41" s="15"/>
      <c r="W41" s="15"/>
      <c r="X41" s="15"/>
      <c r="Y41" s="15"/>
      <c r="Z41" s="15"/>
      <c r="AA41" s="15"/>
      <c r="AB41" s="15"/>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57" ht="15" customHeight="1" thickBot="1">
      <c r="A42" s="1"/>
      <c r="B42" s="17"/>
      <c r="C42" s="13"/>
      <c r="D42" s="13"/>
      <c r="E42" s="13"/>
      <c r="F42" s="13"/>
      <c r="G42" s="13"/>
      <c r="H42" s="15"/>
      <c r="I42" s="15"/>
      <c r="J42" s="15"/>
      <c r="K42" s="15"/>
      <c r="L42" s="15"/>
      <c r="M42" s="15"/>
      <c r="N42" s="15"/>
      <c r="O42" s="15"/>
      <c r="P42" s="15"/>
      <c r="Q42" s="15"/>
      <c r="R42" s="15"/>
      <c r="S42" s="15"/>
      <c r="T42" s="15"/>
      <c r="U42" s="15"/>
      <c r="V42" s="15"/>
      <c r="W42" s="15"/>
      <c r="X42" s="15"/>
      <c r="Y42" s="15"/>
      <c r="Z42" s="15"/>
      <c r="AA42" s="15"/>
      <c r="AB42" s="15"/>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57" ht="15" customHeight="1" thickBot="1">
      <c r="B43" s="17"/>
      <c r="C43" s="195" t="s">
        <v>147</v>
      </c>
      <c r="D43" s="196">
        <f>D41/B41</f>
        <v>26.750483870967741</v>
      </c>
      <c r="E43" s="13"/>
      <c r="F43" s="13"/>
      <c r="G43" s="13"/>
      <c r="H43" s="15"/>
      <c r="I43" s="15"/>
      <c r="J43" s="15"/>
      <c r="K43" s="15"/>
      <c r="L43" s="15"/>
      <c r="M43" s="15"/>
      <c r="N43" s="15"/>
      <c r="O43" s="15"/>
      <c r="P43" s="15"/>
      <c r="Q43" s="15"/>
      <c r="R43" s="15"/>
      <c r="S43" s="15"/>
      <c r="T43" s="15"/>
      <c r="U43" s="15"/>
      <c r="V43" s="15"/>
      <c r="W43" s="15"/>
      <c r="X43" s="15"/>
      <c r="Y43" s="15"/>
      <c r="Z43" s="15"/>
      <c r="AA43" s="15"/>
      <c r="AB43" s="15"/>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7" ht="15" customHeight="1">
      <c r="A44" s="3"/>
      <c r="B44" s="82"/>
      <c r="C44" s="13"/>
      <c r="D44" s="13"/>
      <c r="E44" s="13"/>
      <c r="F44" s="13"/>
      <c r="G44" s="13"/>
      <c r="H44" s="15"/>
      <c r="I44" s="15"/>
      <c r="J44" s="15"/>
      <c r="K44" s="15"/>
      <c r="L44" s="15"/>
      <c r="M44" s="15"/>
      <c r="N44" s="15"/>
      <c r="O44" s="15"/>
      <c r="P44" s="15"/>
      <c r="Q44" s="15"/>
      <c r="R44" s="15"/>
      <c r="S44" s="15"/>
      <c r="T44" s="15"/>
      <c r="U44" s="15"/>
      <c r="V44" s="15"/>
      <c r="W44" s="15"/>
      <c r="X44" s="15"/>
      <c r="Y44" s="15"/>
      <c r="Z44" s="15"/>
      <c r="AA44" s="15"/>
      <c r="AB44" s="15"/>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57" ht="15" customHeight="1">
      <c r="B45" s="82"/>
      <c r="C45" s="67"/>
      <c r="D45" s="67"/>
      <c r="E45" s="67"/>
      <c r="F45" s="67"/>
      <c r="G45" s="13"/>
      <c r="H45" s="15"/>
      <c r="I45" s="15"/>
      <c r="J45" s="15"/>
      <c r="K45" s="15"/>
      <c r="L45" s="15"/>
      <c r="M45" s="15"/>
      <c r="N45" s="15"/>
      <c r="O45" s="15"/>
      <c r="P45" s="15"/>
      <c r="Q45" s="15"/>
      <c r="R45" s="15"/>
      <c r="S45" s="15"/>
      <c r="T45" s="15"/>
      <c r="U45" s="15"/>
      <c r="V45" s="15"/>
      <c r="W45" s="15"/>
      <c r="X45" s="15"/>
      <c r="Y45" s="15"/>
      <c r="Z45" s="15"/>
      <c r="AA45" s="15"/>
      <c r="AB45" s="15"/>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57" ht="15" customHeight="1">
      <c r="B46" s="82"/>
      <c r="C46" s="67"/>
      <c r="D46" s="67"/>
      <c r="E46" s="67"/>
      <c r="F46" s="67"/>
      <c r="G46" s="13"/>
      <c r="H46" s="15"/>
      <c r="I46" s="15"/>
      <c r="J46" s="15"/>
      <c r="K46" s="15"/>
      <c r="L46" s="15"/>
      <c r="M46" s="15"/>
      <c r="N46" s="15"/>
      <c r="O46" s="15"/>
      <c r="P46" s="15"/>
      <c r="Q46" s="15"/>
      <c r="R46" s="15"/>
      <c r="S46" s="15"/>
      <c r="T46" s="15"/>
      <c r="U46" s="15"/>
      <c r="V46" s="15"/>
      <c r="W46" s="15"/>
      <c r="X46" s="15"/>
      <c r="Y46" s="15"/>
      <c r="Z46" s="15"/>
      <c r="AA46" s="15"/>
      <c r="AB46" s="15"/>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57" ht="15" customHeight="1">
      <c r="B47" s="82"/>
      <c r="C47" s="67"/>
      <c r="D47" s="67"/>
      <c r="E47" s="67"/>
      <c r="F47" s="67"/>
      <c r="G47" s="67"/>
      <c r="H47" s="15"/>
      <c r="I47" s="15"/>
      <c r="J47" s="15"/>
      <c r="K47" s="15"/>
      <c r="L47" s="15"/>
      <c r="M47" s="15"/>
      <c r="N47" s="15"/>
      <c r="O47" s="15"/>
      <c r="P47" s="15"/>
      <c r="Q47" s="15"/>
      <c r="R47" s="15"/>
      <c r="S47" s="15"/>
      <c r="T47" s="15"/>
      <c r="U47" s="15"/>
      <c r="V47" s="15"/>
      <c r="W47" s="15"/>
      <c r="X47" s="15"/>
      <c r="Y47" s="15"/>
      <c r="Z47" s="15"/>
      <c r="AA47" s="15"/>
      <c r="AB47" s="15"/>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57" ht="15" customHeight="1">
      <c r="B48" s="82"/>
      <c r="C48" s="67"/>
      <c r="D48" s="67"/>
      <c r="E48" s="67"/>
      <c r="F48" s="67"/>
      <c r="G48" s="67"/>
      <c r="H48" s="15"/>
      <c r="I48" s="15"/>
      <c r="J48" s="15"/>
      <c r="K48" s="15"/>
      <c r="L48" s="15"/>
      <c r="M48" s="15"/>
      <c r="N48" s="15"/>
      <c r="O48" s="15"/>
      <c r="P48" s="15"/>
      <c r="Q48" s="15"/>
      <c r="R48" s="15"/>
      <c r="S48" s="15"/>
      <c r="T48" s="15"/>
      <c r="U48" s="15"/>
      <c r="V48" s="15"/>
      <c r="W48" s="15"/>
      <c r="X48" s="15"/>
      <c r="Y48" s="15"/>
      <c r="Z48" s="15"/>
      <c r="AA48" s="15"/>
      <c r="AB48" s="15"/>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9" ht="15" customHeight="1">
      <c r="B49" s="82"/>
      <c r="C49" s="67"/>
      <c r="D49" s="67"/>
      <c r="E49" s="67"/>
      <c r="F49" s="67"/>
      <c r="G49" s="67"/>
      <c r="H49" s="15"/>
      <c r="I49" s="15"/>
      <c r="J49" s="15"/>
      <c r="K49" s="15"/>
      <c r="L49" s="15"/>
      <c r="M49" s="15"/>
      <c r="N49" s="15"/>
      <c r="O49" s="15"/>
      <c r="P49" s="15"/>
      <c r="Q49" s="15"/>
      <c r="R49" s="15"/>
      <c r="S49" s="15"/>
      <c r="T49" s="15"/>
      <c r="U49" s="15"/>
      <c r="V49" s="15"/>
      <c r="W49" s="15"/>
      <c r="X49" s="15"/>
      <c r="Y49" s="15"/>
      <c r="Z49" s="15"/>
      <c r="AA49" s="15"/>
      <c r="AB49" s="15"/>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15" customHeight="1">
      <c r="B50" s="82"/>
      <c r="C50" s="67"/>
      <c r="D50" s="67"/>
      <c r="E50" s="67"/>
      <c r="F50" s="67"/>
      <c r="G50" s="67"/>
      <c r="H50" s="15"/>
      <c r="I50" s="15"/>
      <c r="J50" s="15"/>
      <c r="K50" s="15"/>
      <c r="L50" s="15"/>
      <c r="M50" s="15"/>
      <c r="N50" s="15"/>
      <c r="O50" s="15"/>
      <c r="P50" s="15"/>
      <c r="Q50" s="15"/>
      <c r="R50" s="15"/>
      <c r="S50" s="15"/>
      <c r="T50" s="15"/>
      <c r="U50" s="15"/>
      <c r="V50" s="15"/>
      <c r="W50" s="15"/>
      <c r="X50" s="15"/>
      <c r="Y50" s="15"/>
      <c r="Z50" s="15"/>
      <c r="AA50" s="15"/>
      <c r="AB50" s="15"/>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15" customHeight="1">
      <c r="B51" s="82"/>
      <c r="C51" s="67"/>
      <c r="D51" s="67"/>
      <c r="E51" s="67"/>
      <c r="F51" s="67"/>
      <c r="G51" s="67"/>
      <c r="H51" s="15"/>
      <c r="I51" s="15"/>
      <c r="J51" s="15"/>
      <c r="K51" s="15"/>
      <c r="L51" s="15"/>
      <c r="M51" s="15"/>
      <c r="N51" s="15"/>
      <c r="O51" s="15"/>
      <c r="P51" s="15"/>
      <c r="Q51" s="15"/>
      <c r="R51" s="15"/>
      <c r="S51" s="15"/>
      <c r="T51" s="15"/>
      <c r="U51" s="15"/>
      <c r="V51" s="15"/>
      <c r="W51" s="15"/>
      <c r="X51" s="15"/>
      <c r="Y51" s="15"/>
      <c r="Z51" s="15"/>
      <c r="AA51" s="15"/>
      <c r="AB51" s="15"/>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15" customHeight="1">
      <c r="C52" s="67"/>
      <c r="D52" s="67"/>
      <c r="E52" s="67"/>
      <c r="F52" s="67"/>
      <c r="G52" s="67"/>
      <c r="H52" s="15"/>
      <c r="I52" s="15"/>
      <c r="J52" s="15"/>
      <c r="K52" s="15"/>
      <c r="L52" s="15"/>
      <c r="M52" s="15"/>
      <c r="N52" s="15"/>
      <c r="O52" s="15"/>
      <c r="P52" s="15"/>
      <c r="Q52" s="15"/>
      <c r="R52" s="15"/>
      <c r="S52" s="15"/>
      <c r="T52" s="15"/>
      <c r="U52" s="15"/>
      <c r="V52" s="15"/>
      <c r="W52" s="15"/>
      <c r="X52" s="15"/>
      <c r="Y52" s="15"/>
      <c r="Z52" s="15"/>
      <c r="AA52" s="15"/>
      <c r="AB52" s="15"/>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15" customHeight="1">
      <c r="C53" s="67"/>
      <c r="D53" s="67"/>
      <c r="E53" s="67"/>
      <c r="F53" s="67"/>
      <c r="G53" s="67"/>
      <c r="H53" s="15"/>
      <c r="I53" s="15"/>
      <c r="J53" s="15"/>
      <c r="K53" s="15"/>
      <c r="L53" s="15"/>
      <c r="M53" s="15"/>
      <c r="N53" s="15"/>
      <c r="O53" s="15"/>
      <c r="P53" s="15"/>
      <c r="Q53" s="15"/>
      <c r="R53" s="15"/>
      <c r="S53" s="15"/>
      <c r="T53" s="15"/>
      <c r="U53" s="15"/>
      <c r="V53" s="15"/>
      <c r="W53" s="15"/>
      <c r="X53" s="15"/>
      <c r="Y53" s="15"/>
      <c r="Z53" s="15"/>
      <c r="AA53" s="15"/>
      <c r="AB53" s="15"/>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15" customHeight="1">
      <c r="C54" s="67"/>
      <c r="D54" s="67"/>
      <c r="E54" s="67"/>
      <c r="F54" s="67"/>
      <c r="G54" s="67"/>
      <c r="H54" s="15"/>
      <c r="I54" s="15"/>
      <c r="J54" s="15"/>
      <c r="K54" s="15"/>
      <c r="L54" s="15"/>
      <c r="M54" s="15"/>
      <c r="N54" s="15"/>
      <c r="O54" s="15"/>
      <c r="P54" s="15"/>
      <c r="Q54" s="15"/>
      <c r="R54" s="15"/>
      <c r="S54" s="15"/>
      <c r="T54" s="15"/>
      <c r="U54" s="15"/>
      <c r="V54" s="15"/>
      <c r="W54" s="15"/>
      <c r="X54" s="15"/>
      <c r="Y54" s="15"/>
      <c r="Z54" s="15"/>
      <c r="AA54" s="15"/>
      <c r="AB54" s="15"/>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15" customHeight="1">
      <c r="C55" s="67"/>
      <c r="D55" s="67"/>
      <c r="E55" s="67"/>
      <c r="F55" s="67"/>
      <c r="G55" s="67"/>
      <c r="H55" s="15"/>
      <c r="I55" s="15"/>
      <c r="J55" s="15"/>
      <c r="K55" s="15"/>
      <c r="L55" s="15"/>
      <c r="M55" s="15"/>
      <c r="N55" s="15"/>
      <c r="O55" s="15"/>
      <c r="P55" s="15"/>
      <c r="Q55" s="15"/>
      <c r="R55" s="15"/>
      <c r="S55" s="15"/>
      <c r="T55" s="15"/>
      <c r="U55" s="15"/>
      <c r="V55" s="15"/>
      <c r="W55" s="15"/>
      <c r="X55" s="15"/>
      <c r="Y55" s="15"/>
      <c r="Z55" s="15"/>
      <c r="AA55" s="15"/>
      <c r="AB55" s="15"/>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15" customHeight="1">
      <c r="C56" s="67"/>
      <c r="D56" s="67"/>
      <c r="E56" s="67"/>
      <c r="F56" s="67"/>
      <c r="G56" s="67"/>
      <c r="H56" s="15"/>
      <c r="I56" s="15"/>
      <c r="J56" s="15"/>
      <c r="K56" s="15"/>
      <c r="L56" s="15"/>
      <c r="M56" s="15"/>
      <c r="N56" s="15"/>
      <c r="O56" s="15"/>
      <c r="P56" s="15"/>
      <c r="Q56" s="15"/>
      <c r="R56" s="15"/>
      <c r="S56" s="15"/>
      <c r="T56" s="15"/>
      <c r="U56" s="15"/>
      <c r="V56" s="15"/>
      <c r="W56" s="15"/>
      <c r="X56" s="15"/>
      <c r="Y56" s="15"/>
      <c r="Z56" s="15"/>
      <c r="AA56" s="15"/>
      <c r="AB56" s="15"/>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15" customHeight="1">
      <c r="C57" s="67"/>
      <c r="D57" s="67"/>
      <c r="E57" s="67"/>
      <c r="F57" s="67"/>
      <c r="G57" s="67"/>
      <c r="H57" s="15"/>
      <c r="I57" s="15"/>
      <c r="J57" s="15"/>
      <c r="K57" s="15"/>
      <c r="L57" s="15"/>
      <c r="M57" s="15"/>
      <c r="N57" s="15"/>
      <c r="O57" s="15"/>
      <c r="P57" s="15"/>
      <c r="Q57" s="15"/>
      <c r="R57" s="15"/>
      <c r="S57" s="15"/>
      <c r="T57" s="15"/>
      <c r="U57" s="15"/>
      <c r="V57" s="15"/>
      <c r="W57" s="15"/>
      <c r="X57" s="15"/>
      <c r="Y57" s="15"/>
      <c r="Z57" s="15"/>
      <c r="AA57" s="15"/>
      <c r="AB57" s="15"/>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15" customHeight="1">
      <c r="C58" s="67"/>
      <c r="D58" s="67"/>
      <c r="E58" s="67"/>
      <c r="F58" s="67"/>
      <c r="G58" s="67"/>
      <c r="H58" s="15"/>
      <c r="I58" s="15"/>
      <c r="J58" s="15"/>
      <c r="K58" s="15"/>
      <c r="L58" s="15"/>
      <c r="M58" s="15"/>
      <c r="N58" s="15"/>
      <c r="O58" s="15"/>
      <c r="P58" s="15"/>
      <c r="Q58" s="15"/>
      <c r="R58" s="15"/>
      <c r="S58" s="15"/>
      <c r="T58" s="15"/>
      <c r="U58" s="15"/>
      <c r="V58" s="15"/>
      <c r="W58" s="15"/>
      <c r="X58" s="15"/>
      <c r="Y58" s="15"/>
      <c r="Z58" s="15"/>
      <c r="AA58" s="15"/>
      <c r="AB58" s="15"/>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15" customHeight="1">
      <c r="C59" s="67"/>
      <c r="D59" s="67"/>
      <c r="E59" s="67"/>
      <c r="F59" s="67"/>
      <c r="G59" s="67"/>
      <c r="H59" s="15"/>
      <c r="I59" s="15"/>
      <c r="J59" s="15"/>
      <c r="K59" s="15"/>
      <c r="L59" s="15"/>
      <c r="M59" s="15"/>
      <c r="N59" s="15"/>
      <c r="O59" s="15"/>
      <c r="P59" s="15"/>
      <c r="Q59" s="15"/>
      <c r="R59" s="15"/>
      <c r="S59" s="15"/>
      <c r="T59" s="15"/>
      <c r="U59" s="15"/>
      <c r="V59" s="15"/>
      <c r="W59" s="15"/>
      <c r="X59" s="15"/>
      <c r="Y59" s="15"/>
      <c r="Z59" s="15"/>
      <c r="AA59" s="15"/>
      <c r="AB59" s="15"/>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15" customHeight="1">
      <c r="C60" s="67"/>
      <c r="D60" s="67"/>
      <c r="E60" s="67"/>
      <c r="F60" s="67"/>
      <c r="G60" s="67"/>
      <c r="H60" s="15"/>
      <c r="I60" s="15"/>
      <c r="J60" s="15"/>
      <c r="K60" s="15"/>
      <c r="L60" s="15"/>
      <c r="M60" s="15"/>
      <c r="N60" s="15"/>
      <c r="O60" s="15"/>
      <c r="P60" s="15"/>
      <c r="Q60" s="15"/>
      <c r="R60" s="15"/>
      <c r="S60" s="15"/>
      <c r="T60" s="15"/>
      <c r="U60" s="15"/>
      <c r="V60" s="15"/>
      <c r="W60" s="15"/>
      <c r="X60" s="15"/>
      <c r="Y60" s="15"/>
      <c r="Z60" s="15"/>
      <c r="AA60" s="15"/>
      <c r="AB60" s="15"/>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15" customHeight="1">
      <c r="C61" s="67"/>
      <c r="D61" s="67"/>
      <c r="E61" s="67"/>
      <c r="F61" s="67"/>
      <c r="G61" s="67"/>
      <c r="H61" s="15"/>
      <c r="I61" s="15"/>
      <c r="J61" s="15"/>
      <c r="K61" s="15"/>
      <c r="L61" s="15"/>
      <c r="M61" s="15"/>
      <c r="N61" s="15"/>
      <c r="O61" s="15"/>
      <c r="P61" s="15"/>
      <c r="Q61" s="15"/>
      <c r="R61" s="15"/>
      <c r="S61" s="15"/>
      <c r="T61" s="15"/>
      <c r="U61" s="15"/>
      <c r="V61" s="15"/>
      <c r="W61" s="15"/>
      <c r="X61" s="15"/>
      <c r="Y61" s="15"/>
      <c r="Z61" s="15"/>
      <c r="AA61" s="15"/>
      <c r="AB61" s="1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15" customHeight="1">
      <c r="C62" s="67"/>
      <c r="D62" s="67"/>
      <c r="E62" s="67"/>
      <c r="F62" s="67"/>
      <c r="G62" s="67"/>
      <c r="H62" s="15"/>
      <c r="I62" s="15"/>
      <c r="J62" s="15"/>
      <c r="K62" s="15"/>
      <c r="L62" s="15"/>
      <c r="M62" s="15"/>
      <c r="N62" s="15"/>
      <c r="O62" s="15"/>
      <c r="P62" s="15"/>
      <c r="Q62" s="15"/>
      <c r="R62" s="15"/>
      <c r="S62" s="15"/>
      <c r="T62" s="15"/>
      <c r="U62" s="15"/>
      <c r="V62" s="15"/>
      <c r="W62" s="15"/>
      <c r="X62" s="15"/>
      <c r="Y62" s="15"/>
      <c r="Z62" s="15"/>
      <c r="AA62" s="15"/>
      <c r="AB62" s="1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15" customHeight="1">
      <c r="A63" s="3"/>
      <c r="B63" s="3"/>
      <c r="C63" s="13"/>
      <c r="D63" s="13"/>
      <c r="E63" s="13"/>
      <c r="F63" s="13"/>
      <c r="G63" s="67"/>
      <c r="H63" s="15"/>
      <c r="I63" s="15"/>
      <c r="J63" s="15"/>
      <c r="K63" s="15"/>
      <c r="L63" s="15"/>
      <c r="M63" s="15"/>
      <c r="N63" s="15"/>
      <c r="O63" s="15"/>
      <c r="P63" s="15"/>
      <c r="Q63" s="15"/>
      <c r="R63" s="15"/>
      <c r="S63" s="15"/>
      <c r="T63" s="15"/>
      <c r="U63" s="15"/>
      <c r="V63" s="15"/>
      <c r="W63" s="15"/>
      <c r="X63" s="15"/>
      <c r="Y63" s="15"/>
      <c r="Z63" s="15"/>
      <c r="AA63" s="15"/>
      <c r="AB63" s="1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15" customHeight="1">
      <c r="A64" s="3"/>
      <c r="B64" s="3"/>
      <c r="C64" s="5"/>
      <c r="D64" s="13"/>
      <c r="E64" s="13"/>
      <c r="F64" s="13"/>
      <c r="G64" s="67"/>
      <c r="H64" s="15"/>
      <c r="I64" s="15"/>
      <c r="J64" s="15"/>
      <c r="K64" s="15"/>
      <c r="L64" s="15"/>
      <c r="M64" s="15"/>
      <c r="N64" s="15"/>
      <c r="O64" s="15"/>
      <c r="P64" s="15"/>
      <c r="Q64" s="15"/>
      <c r="R64" s="15"/>
      <c r="S64" s="15"/>
      <c r="T64" s="15"/>
      <c r="U64" s="15"/>
      <c r="V64" s="15"/>
      <c r="W64" s="15"/>
      <c r="X64" s="15"/>
      <c r="Y64" s="15"/>
      <c r="Z64" s="15"/>
      <c r="AA64" s="15"/>
      <c r="AB64" s="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15.75">
      <c r="A65" s="74"/>
      <c r="C65" s="5"/>
      <c r="D65" s="67"/>
      <c r="E65" s="67"/>
      <c r="F65" s="67"/>
      <c r="G65" s="13"/>
      <c r="H65" s="15"/>
      <c r="I65" s="15"/>
      <c r="J65" s="15"/>
      <c r="K65" s="15"/>
      <c r="L65" s="15"/>
      <c r="M65" s="15"/>
      <c r="N65" s="15"/>
      <c r="O65" s="15"/>
      <c r="P65" s="15"/>
      <c r="Q65" s="15"/>
      <c r="R65" s="15"/>
      <c r="S65" s="15"/>
      <c r="T65" s="15"/>
      <c r="U65" s="15"/>
      <c r="V65" s="15"/>
      <c r="W65" s="15"/>
      <c r="X65" s="15"/>
      <c r="Y65" s="15"/>
      <c r="Z65" s="15"/>
      <c r="AA65" s="15"/>
      <c r="AB65" s="1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15.75">
      <c r="A66" s="74"/>
      <c r="B66" s="74"/>
      <c r="C66" s="83"/>
      <c r="D66" s="83"/>
      <c r="E66" s="83"/>
      <c r="F66" s="83"/>
      <c r="G66" s="13"/>
      <c r="H66" s="15"/>
      <c r="I66" s="15"/>
      <c r="J66" s="15"/>
      <c r="K66" s="15"/>
      <c r="L66" s="15"/>
      <c r="M66" s="15"/>
      <c r="N66" s="15"/>
      <c r="O66" s="15"/>
      <c r="P66" s="15"/>
      <c r="Q66" s="15"/>
      <c r="R66" s="15"/>
      <c r="S66" s="15"/>
      <c r="T66" s="15"/>
      <c r="U66" s="15"/>
      <c r="V66" s="15"/>
      <c r="W66" s="15"/>
      <c r="X66" s="15"/>
      <c r="Y66" s="15"/>
      <c r="Z66" s="15"/>
      <c r="AA66" s="15"/>
      <c r="AB66" s="15"/>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15.75">
      <c r="A67" s="74"/>
      <c r="B67" s="74"/>
      <c r="C67" s="67"/>
      <c r="D67" s="67"/>
      <c r="E67" s="67"/>
      <c r="F67" s="67"/>
      <c r="G67" s="83"/>
      <c r="H67" s="15"/>
      <c r="I67" s="15"/>
      <c r="J67" s="15"/>
      <c r="K67" s="15"/>
      <c r="L67" s="15"/>
      <c r="M67" s="15"/>
      <c r="N67" s="15"/>
      <c r="O67" s="15"/>
      <c r="P67" s="15"/>
      <c r="Q67" s="15"/>
      <c r="R67" s="15"/>
      <c r="S67" s="15"/>
      <c r="T67" s="15"/>
      <c r="U67" s="15"/>
      <c r="V67" s="15"/>
      <c r="W67" s="15"/>
      <c r="X67" s="15"/>
      <c r="Y67" s="15"/>
      <c r="Z67" s="15"/>
      <c r="AA67" s="15"/>
      <c r="AB67" s="15"/>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15.75">
      <c r="A68" s="74"/>
      <c r="B68" s="74"/>
      <c r="C68" s="83"/>
      <c r="D68" s="83"/>
      <c r="E68" s="83"/>
      <c r="F68" s="83"/>
      <c r="G68" s="83"/>
      <c r="H68" s="15"/>
      <c r="I68" s="15"/>
      <c r="J68" s="15"/>
      <c r="K68" s="15"/>
      <c r="L68" s="15"/>
      <c r="M68" s="15"/>
      <c r="N68" s="15"/>
      <c r="O68" s="15"/>
      <c r="P68" s="15"/>
      <c r="Q68" s="15"/>
      <c r="R68" s="15"/>
      <c r="S68" s="15"/>
      <c r="T68" s="15"/>
      <c r="U68" s="15"/>
      <c r="V68" s="15"/>
      <c r="W68" s="15"/>
      <c r="X68" s="15"/>
      <c r="Y68" s="15"/>
      <c r="Z68" s="15"/>
      <c r="AA68" s="15"/>
      <c r="AB68" s="15"/>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15.75">
      <c r="A69" s="74"/>
      <c r="C69" s="67"/>
      <c r="D69" s="67"/>
      <c r="E69" s="67"/>
      <c r="F69" s="67"/>
      <c r="G69" s="83"/>
      <c r="H69" s="15"/>
      <c r="I69" s="15"/>
      <c r="J69" s="15"/>
      <c r="K69" s="15"/>
      <c r="L69" s="15"/>
      <c r="M69" s="15"/>
      <c r="N69" s="15"/>
      <c r="O69" s="15"/>
      <c r="P69" s="15"/>
      <c r="Q69" s="15"/>
      <c r="R69" s="15"/>
      <c r="S69" s="15"/>
      <c r="T69" s="15"/>
      <c r="U69" s="15"/>
      <c r="V69" s="15"/>
      <c r="W69" s="15"/>
      <c r="X69" s="15"/>
      <c r="Y69" s="15"/>
      <c r="Z69" s="15"/>
      <c r="AA69" s="15"/>
      <c r="AB69" s="15"/>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15.75">
      <c r="A70" s="3"/>
      <c r="B70" s="3"/>
      <c r="C70" s="13"/>
      <c r="D70" s="13"/>
      <c r="E70" s="13"/>
      <c r="F70" s="13"/>
      <c r="G70" s="83"/>
      <c r="H70" s="15"/>
      <c r="I70" s="15"/>
      <c r="J70" s="15"/>
      <c r="K70" s="15"/>
      <c r="L70" s="15"/>
      <c r="M70" s="15"/>
      <c r="N70" s="15"/>
      <c r="O70" s="15"/>
      <c r="P70" s="15"/>
      <c r="Q70" s="15"/>
      <c r="R70" s="15"/>
      <c r="S70" s="15"/>
      <c r="T70" s="15"/>
      <c r="U70" s="15"/>
      <c r="V70" s="15"/>
      <c r="W70" s="15"/>
      <c r="X70" s="15"/>
      <c r="Y70" s="15"/>
      <c r="Z70" s="15"/>
      <c r="AA70" s="15"/>
      <c r="AB70" s="15"/>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15.75">
      <c r="A71" s="3"/>
      <c r="B71" s="3"/>
      <c r="C71" s="13"/>
      <c r="D71" s="13"/>
      <c r="E71" s="13"/>
      <c r="F71" s="13"/>
      <c r="G71" s="83"/>
      <c r="H71" s="15"/>
      <c r="I71" s="15"/>
      <c r="J71" s="15"/>
      <c r="K71" s="15"/>
      <c r="L71" s="15"/>
      <c r="M71" s="15"/>
      <c r="N71" s="15"/>
      <c r="O71" s="15"/>
      <c r="P71" s="15"/>
      <c r="Q71" s="15"/>
      <c r="R71" s="15"/>
      <c r="S71" s="15"/>
      <c r="T71" s="15"/>
      <c r="U71" s="15"/>
      <c r="V71" s="15"/>
      <c r="W71" s="15"/>
      <c r="X71" s="15"/>
      <c r="Y71" s="15"/>
      <c r="Z71" s="15"/>
      <c r="AA71" s="15"/>
      <c r="AB71" s="15"/>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15.75">
      <c r="A72" s="3"/>
      <c r="B72" s="3"/>
      <c r="C72" s="13"/>
      <c r="D72" s="13"/>
      <c r="E72" s="13"/>
      <c r="F72" s="13"/>
      <c r="G72" s="13"/>
      <c r="H72" s="15"/>
      <c r="I72" s="15"/>
      <c r="J72" s="15"/>
      <c r="K72" s="15"/>
      <c r="L72" s="15"/>
      <c r="M72" s="15"/>
      <c r="N72" s="15"/>
      <c r="O72" s="15"/>
      <c r="P72" s="15"/>
      <c r="Q72" s="15"/>
      <c r="R72" s="15"/>
      <c r="S72" s="15"/>
      <c r="T72" s="15"/>
      <c r="U72" s="15"/>
      <c r="V72" s="15"/>
      <c r="W72" s="15"/>
      <c r="X72" s="15"/>
      <c r="Y72" s="15"/>
      <c r="Z72" s="15"/>
      <c r="AA72" s="15"/>
      <c r="AB72" s="15"/>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15.75">
      <c r="A73" s="3"/>
      <c r="B73" s="3"/>
      <c r="C73" s="13"/>
      <c r="D73" s="13"/>
      <c r="E73" s="13"/>
      <c r="F73" s="13"/>
      <c r="G73" s="13"/>
      <c r="H73" s="15"/>
      <c r="I73" s="15"/>
      <c r="J73" s="15"/>
      <c r="K73" s="15"/>
      <c r="L73" s="15"/>
      <c r="M73" s="15"/>
      <c r="N73" s="15"/>
      <c r="O73" s="15"/>
      <c r="P73" s="15"/>
      <c r="Q73" s="15"/>
      <c r="R73" s="15"/>
      <c r="S73" s="15"/>
      <c r="T73" s="15"/>
      <c r="U73" s="15"/>
      <c r="V73" s="15"/>
      <c r="W73" s="15"/>
      <c r="X73" s="15"/>
      <c r="Y73" s="15"/>
      <c r="Z73" s="15"/>
      <c r="AA73" s="15"/>
      <c r="AB73" s="15"/>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15.75">
      <c r="A74" s="3"/>
      <c r="B74" s="3"/>
      <c r="C74" s="13"/>
      <c r="D74" s="13"/>
      <c r="E74" s="13"/>
      <c r="F74" s="13"/>
      <c r="G74" s="13"/>
      <c r="H74" s="15"/>
      <c r="I74" s="15"/>
      <c r="J74" s="15"/>
      <c r="K74" s="15"/>
      <c r="L74" s="15"/>
      <c r="M74" s="15"/>
      <c r="N74" s="15"/>
      <c r="O74" s="15"/>
      <c r="P74" s="15"/>
      <c r="Q74" s="15"/>
      <c r="R74" s="15"/>
      <c r="S74" s="15"/>
      <c r="T74" s="15"/>
      <c r="U74" s="15"/>
      <c r="V74" s="15"/>
      <c r="W74" s="15"/>
      <c r="X74" s="15"/>
      <c r="Y74" s="15"/>
      <c r="Z74" s="15"/>
      <c r="AA74" s="15"/>
      <c r="AB74" s="15"/>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ht="15.75">
      <c r="A75" s="3"/>
      <c r="B75" s="3"/>
      <c r="C75" s="3"/>
      <c r="D75" s="3"/>
      <c r="E75" s="3"/>
      <c r="F75" s="3"/>
      <c r="G75" s="3"/>
      <c r="H75" s="15"/>
      <c r="I75" s="15"/>
      <c r="J75" s="15"/>
      <c r="K75" s="15"/>
      <c r="L75" s="15"/>
      <c r="M75" s="15"/>
      <c r="N75" s="15"/>
      <c r="O75" s="15"/>
      <c r="P75" s="15"/>
      <c r="Q75" s="15"/>
      <c r="R75" s="15"/>
      <c r="S75" s="15"/>
      <c r="T75" s="15"/>
      <c r="U75" s="15"/>
      <c r="V75" s="15"/>
      <c r="W75" s="15"/>
      <c r="X75" s="15"/>
      <c r="Y75" s="15"/>
      <c r="Z75" s="15"/>
      <c r="AA75" s="15"/>
      <c r="AB75" s="15"/>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ht="15.75">
      <c r="A76" s="3"/>
      <c r="B76" s="3"/>
      <c r="C76" s="3"/>
      <c r="D76" s="3"/>
      <c r="E76" s="3"/>
      <c r="F76" s="3"/>
      <c r="G76" s="3"/>
      <c r="H76" s="15"/>
      <c r="I76" s="15"/>
      <c r="J76" s="15"/>
      <c r="K76" s="15"/>
      <c r="L76" s="15"/>
      <c r="M76" s="15"/>
      <c r="N76" s="15"/>
      <c r="O76" s="15"/>
      <c r="P76" s="15"/>
      <c r="Q76" s="15"/>
      <c r="R76" s="15"/>
      <c r="S76" s="15"/>
      <c r="T76" s="15"/>
      <c r="U76" s="15"/>
      <c r="V76" s="15"/>
      <c r="W76" s="15"/>
      <c r="X76" s="15"/>
      <c r="Y76" s="15"/>
      <c r="Z76" s="15"/>
      <c r="AA76" s="15"/>
      <c r="AB76" s="15"/>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ht="15.75">
      <c r="A77" s="3"/>
      <c r="B77" s="3"/>
      <c r="C77" s="3"/>
      <c r="D77" s="3"/>
      <c r="E77" s="3"/>
      <c r="F77" s="3"/>
      <c r="G77" s="3"/>
      <c r="H77" s="15"/>
      <c r="I77" s="15"/>
      <c r="J77" s="15"/>
      <c r="K77" s="15"/>
      <c r="L77" s="15"/>
      <c r="M77" s="15"/>
      <c r="N77" s="15"/>
      <c r="O77" s="15"/>
      <c r="P77" s="15"/>
      <c r="Q77" s="15"/>
      <c r="R77" s="15"/>
      <c r="S77" s="15"/>
      <c r="T77" s="15"/>
      <c r="U77" s="15"/>
      <c r="V77" s="15"/>
      <c r="W77" s="15"/>
      <c r="X77" s="15"/>
      <c r="Y77" s="15"/>
      <c r="Z77" s="15"/>
      <c r="AA77" s="15"/>
      <c r="AB77" s="15"/>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ht="15.75">
      <c r="A78" s="3"/>
      <c r="B78" s="3"/>
      <c r="C78" s="3"/>
      <c r="D78" s="3"/>
      <c r="E78" s="3"/>
      <c r="F78" s="3"/>
      <c r="G78" s="3"/>
      <c r="H78" s="15"/>
      <c r="I78" s="15"/>
      <c r="J78" s="15"/>
      <c r="K78" s="15"/>
      <c r="L78" s="15"/>
      <c r="M78" s="15"/>
      <c r="N78" s="15"/>
      <c r="O78" s="15"/>
      <c r="P78" s="15"/>
      <c r="Q78" s="15"/>
      <c r="R78" s="15"/>
      <c r="S78" s="15"/>
      <c r="T78" s="15"/>
      <c r="U78" s="15"/>
      <c r="V78" s="15"/>
      <c r="W78" s="15"/>
      <c r="X78" s="15"/>
      <c r="Y78" s="15"/>
      <c r="Z78" s="15"/>
      <c r="AA78" s="15"/>
      <c r="AB78" s="15"/>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ht="15.75">
      <c r="A79" s="3"/>
      <c r="B79" s="3"/>
      <c r="C79" s="3"/>
      <c r="D79" s="3"/>
      <c r="E79" s="3"/>
      <c r="F79" s="3"/>
      <c r="G79" s="3"/>
      <c r="H79" s="15"/>
      <c r="I79" s="15"/>
      <c r="J79" s="15"/>
      <c r="K79" s="15"/>
      <c r="L79" s="15"/>
      <c r="M79" s="15"/>
      <c r="N79" s="15"/>
      <c r="O79" s="15"/>
      <c r="P79" s="15"/>
      <c r="Q79" s="15"/>
      <c r="R79" s="15"/>
      <c r="S79" s="15"/>
      <c r="T79" s="15"/>
      <c r="U79" s="15"/>
      <c r="V79" s="15"/>
      <c r="W79" s="15"/>
      <c r="X79" s="15"/>
      <c r="Y79" s="15"/>
      <c r="Z79" s="15"/>
      <c r="AA79" s="15"/>
      <c r="AB79" s="15"/>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ht="15.75">
      <c r="A80" s="3"/>
      <c r="B80" s="3"/>
      <c r="C80" s="3"/>
      <c r="D80" s="3"/>
      <c r="E80" s="3"/>
      <c r="F80" s="3"/>
      <c r="G80" s="3"/>
      <c r="H80" s="15"/>
      <c r="I80" s="15"/>
      <c r="J80" s="15"/>
      <c r="K80" s="15"/>
      <c r="L80" s="15"/>
      <c r="M80" s="15"/>
      <c r="N80" s="15"/>
      <c r="O80" s="15"/>
      <c r="P80" s="15"/>
      <c r="Q80" s="15"/>
      <c r="R80" s="15"/>
      <c r="S80" s="15"/>
      <c r="T80" s="15"/>
      <c r="U80" s="15"/>
      <c r="V80" s="15"/>
      <c r="W80" s="15"/>
      <c r="X80" s="15"/>
      <c r="Y80" s="15"/>
      <c r="Z80" s="15"/>
      <c r="AA80" s="15"/>
      <c r="AB80" s="15"/>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ht="15.75">
      <c r="A81" s="3"/>
      <c r="B81" s="3"/>
      <c r="C81" s="3"/>
      <c r="D81" s="3"/>
      <c r="E81" s="3"/>
      <c r="F81" s="3"/>
      <c r="G81" s="3"/>
      <c r="H81" s="15"/>
      <c r="I81" s="15"/>
      <c r="J81" s="15"/>
      <c r="K81" s="15"/>
      <c r="L81" s="15"/>
      <c r="M81" s="15"/>
      <c r="N81" s="15"/>
      <c r="O81" s="15"/>
      <c r="P81" s="15"/>
      <c r="Q81" s="15"/>
      <c r="R81" s="15"/>
      <c r="S81" s="15"/>
      <c r="T81" s="15"/>
      <c r="U81" s="15"/>
      <c r="V81" s="15"/>
      <c r="W81" s="15"/>
      <c r="X81" s="15"/>
      <c r="Y81" s="15"/>
      <c r="Z81" s="15"/>
      <c r="AA81" s="15"/>
      <c r="AB81" s="15"/>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ht="15.75">
      <c r="A82" s="3"/>
      <c r="B82" s="3"/>
      <c r="C82" s="3"/>
      <c r="D82" s="3"/>
      <c r="E82" s="3"/>
      <c r="F82" s="3"/>
      <c r="G82" s="3"/>
      <c r="H82" s="15"/>
      <c r="I82" s="15"/>
      <c r="J82" s="15"/>
      <c r="K82" s="15"/>
      <c r="L82" s="15"/>
      <c r="M82" s="15"/>
      <c r="N82" s="15"/>
      <c r="O82" s="15"/>
      <c r="P82" s="15"/>
      <c r="Q82" s="15"/>
      <c r="R82" s="15"/>
      <c r="S82" s="15"/>
      <c r="T82" s="15"/>
      <c r="U82" s="15"/>
      <c r="V82" s="15"/>
      <c r="W82" s="15"/>
      <c r="X82" s="15"/>
      <c r="Y82" s="15"/>
      <c r="Z82" s="15"/>
      <c r="AA82" s="15"/>
      <c r="AB82" s="15"/>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ht="15.75">
      <c r="A83" s="3"/>
      <c r="B83" s="3"/>
      <c r="C83" s="3"/>
      <c r="D83" s="3"/>
      <c r="E83" s="3"/>
      <c r="F83" s="3"/>
      <c r="G83" s="3"/>
      <c r="H83" s="15"/>
      <c r="I83" s="15"/>
      <c r="J83" s="15"/>
      <c r="K83" s="15"/>
      <c r="L83" s="15"/>
      <c r="M83" s="15"/>
      <c r="N83" s="15"/>
      <c r="O83" s="15"/>
      <c r="P83" s="15"/>
      <c r="Q83" s="15"/>
      <c r="R83" s="15"/>
      <c r="S83" s="15"/>
      <c r="T83" s="15"/>
      <c r="U83" s="15"/>
      <c r="V83" s="15"/>
      <c r="W83" s="15"/>
      <c r="X83" s="15"/>
      <c r="Y83" s="15"/>
      <c r="Z83" s="15"/>
      <c r="AA83" s="15"/>
      <c r="AB83" s="15"/>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ht="15.75">
      <c r="A84" s="3"/>
      <c r="B84" s="3"/>
      <c r="C84" s="3"/>
      <c r="D84" s="3"/>
      <c r="E84" s="3"/>
      <c r="F84" s="3"/>
      <c r="G84" s="3"/>
      <c r="H84" s="15"/>
      <c r="I84" s="15"/>
      <c r="J84" s="15"/>
      <c r="K84" s="15"/>
      <c r="L84" s="15"/>
      <c r="M84" s="15"/>
      <c r="N84" s="15"/>
      <c r="O84" s="15"/>
      <c r="P84" s="15"/>
      <c r="Q84" s="15"/>
      <c r="R84" s="15"/>
      <c r="S84" s="15"/>
      <c r="T84" s="15"/>
      <c r="U84" s="15"/>
      <c r="V84" s="15"/>
      <c r="W84" s="15"/>
      <c r="X84" s="15"/>
      <c r="Y84" s="15"/>
      <c r="Z84" s="15"/>
      <c r="AA84" s="15"/>
      <c r="AB84" s="15"/>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ht="15.75">
      <c r="A85" s="3"/>
      <c r="B85" s="3"/>
      <c r="C85" s="3"/>
      <c r="D85" s="3"/>
      <c r="E85" s="3"/>
      <c r="F85" s="3"/>
      <c r="G85" s="3"/>
      <c r="H85" s="15"/>
      <c r="I85" s="15"/>
      <c r="J85" s="15"/>
      <c r="K85" s="15"/>
      <c r="L85" s="15"/>
      <c r="M85" s="15"/>
      <c r="N85" s="15"/>
      <c r="O85" s="15"/>
      <c r="P85" s="15"/>
      <c r="Q85" s="15"/>
      <c r="R85" s="15"/>
      <c r="S85" s="15"/>
      <c r="T85" s="15"/>
      <c r="U85" s="15"/>
      <c r="V85" s="15"/>
      <c r="W85" s="15"/>
      <c r="X85" s="15"/>
      <c r="Y85" s="15"/>
      <c r="Z85" s="15"/>
      <c r="AA85" s="15"/>
      <c r="AB85" s="15"/>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ht="15.75">
      <c r="A86" s="3"/>
      <c r="B86" s="3"/>
      <c r="C86" s="3"/>
      <c r="D86" s="3"/>
      <c r="E86" s="3"/>
      <c r="F86" s="3"/>
      <c r="G86" s="3"/>
      <c r="H86" s="15"/>
      <c r="I86" s="15"/>
      <c r="J86" s="15"/>
      <c r="K86" s="15"/>
      <c r="L86" s="15"/>
      <c r="M86" s="15"/>
      <c r="N86" s="15"/>
      <c r="O86" s="15"/>
      <c r="P86" s="15"/>
      <c r="Q86" s="15"/>
      <c r="R86" s="15"/>
      <c r="S86" s="15"/>
      <c r="T86" s="15"/>
      <c r="U86" s="15"/>
      <c r="V86" s="15"/>
      <c r="W86" s="15"/>
      <c r="X86" s="15"/>
      <c r="Y86" s="15"/>
      <c r="Z86" s="15"/>
      <c r="AA86" s="15"/>
      <c r="AB86" s="15"/>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ht="15.75">
      <c r="A87" s="3"/>
      <c r="B87" s="3"/>
      <c r="C87" s="3"/>
      <c r="D87" s="3"/>
      <c r="E87" s="3"/>
      <c r="F87" s="3"/>
      <c r="G87" s="3"/>
      <c r="H87" s="15"/>
      <c r="I87" s="15"/>
      <c r="J87" s="15"/>
      <c r="K87" s="15"/>
      <c r="L87" s="15"/>
      <c r="M87" s="15"/>
      <c r="N87" s="15"/>
      <c r="O87" s="15"/>
      <c r="P87" s="15"/>
      <c r="Q87" s="15"/>
      <c r="R87" s="15"/>
      <c r="S87" s="15"/>
      <c r="T87" s="15"/>
      <c r="U87" s="15"/>
      <c r="V87" s="15"/>
      <c r="W87" s="15"/>
      <c r="X87" s="15"/>
      <c r="Y87" s="15"/>
      <c r="Z87" s="15"/>
      <c r="AA87" s="15"/>
      <c r="AB87" s="15"/>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ht="15.75">
      <c r="A88" s="3"/>
      <c r="B88" s="3"/>
      <c r="C88" s="3"/>
      <c r="D88" s="3"/>
      <c r="E88" s="3"/>
      <c r="F88" s="3"/>
      <c r="G88" s="3"/>
      <c r="H88" s="15"/>
      <c r="I88" s="15"/>
      <c r="J88" s="15"/>
      <c r="K88" s="15"/>
      <c r="L88" s="15"/>
      <c r="M88" s="15"/>
      <c r="N88" s="15"/>
      <c r="O88" s="15"/>
      <c r="P88" s="15"/>
      <c r="Q88" s="15"/>
      <c r="R88" s="15"/>
      <c r="S88" s="15"/>
      <c r="T88" s="15"/>
      <c r="U88" s="15"/>
      <c r="V88" s="15"/>
      <c r="W88" s="15"/>
      <c r="X88" s="15"/>
      <c r="Y88" s="15"/>
      <c r="Z88" s="15"/>
      <c r="AA88" s="15"/>
      <c r="AB88" s="15"/>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ht="15.75">
      <c r="A89" s="3"/>
      <c r="B89" s="3"/>
      <c r="C89" s="3"/>
      <c r="D89" s="3"/>
      <c r="E89" s="3"/>
      <c r="F89" s="3"/>
      <c r="G89" s="3"/>
      <c r="H89" s="15"/>
      <c r="I89" s="15"/>
      <c r="J89" s="15"/>
      <c r="K89" s="15"/>
      <c r="L89" s="15"/>
      <c r="M89" s="15"/>
      <c r="N89" s="15"/>
      <c r="O89" s="15"/>
      <c r="P89" s="15"/>
      <c r="Q89" s="15"/>
      <c r="R89" s="15"/>
      <c r="S89" s="15"/>
      <c r="T89" s="15"/>
      <c r="U89" s="15"/>
      <c r="V89" s="15"/>
      <c r="W89" s="15"/>
      <c r="X89" s="15"/>
      <c r="Y89" s="15"/>
      <c r="Z89" s="15"/>
      <c r="AA89" s="15"/>
      <c r="AB89" s="15"/>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ht="15.75">
      <c r="A90" s="3"/>
      <c r="B90" s="3"/>
      <c r="C90" s="3"/>
      <c r="D90" s="3"/>
      <c r="E90" s="3"/>
      <c r="F90" s="3"/>
      <c r="G90" s="3"/>
      <c r="H90" s="15"/>
      <c r="I90" s="15"/>
      <c r="J90" s="15"/>
      <c r="K90" s="15"/>
      <c r="L90" s="15"/>
      <c r="M90" s="15"/>
      <c r="N90" s="15"/>
      <c r="O90" s="15"/>
      <c r="P90" s="15"/>
      <c r="Q90" s="15"/>
      <c r="R90" s="15"/>
      <c r="S90" s="15"/>
      <c r="T90" s="15"/>
      <c r="U90" s="15"/>
      <c r="V90" s="15"/>
      <c r="W90" s="15"/>
      <c r="X90" s="15"/>
      <c r="Y90" s="15"/>
      <c r="Z90" s="15"/>
      <c r="AA90" s="15"/>
      <c r="AB90" s="15"/>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ht="15.75">
      <c r="A91" s="3"/>
      <c r="B91" s="3"/>
      <c r="C91" s="3"/>
      <c r="D91" s="3"/>
      <c r="E91" s="3"/>
      <c r="F91" s="3"/>
      <c r="G91" s="3"/>
      <c r="H91" s="15"/>
      <c r="I91" s="15"/>
      <c r="J91" s="15"/>
      <c r="K91" s="15"/>
      <c r="L91" s="15"/>
      <c r="M91" s="15"/>
      <c r="N91" s="15"/>
      <c r="O91" s="15"/>
      <c r="P91" s="15"/>
      <c r="Q91" s="15"/>
      <c r="R91" s="15"/>
      <c r="S91" s="15"/>
      <c r="T91" s="15"/>
      <c r="U91" s="15"/>
      <c r="V91" s="15"/>
      <c r="W91" s="15"/>
      <c r="X91" s="15"/>
      <c r="Y91" s="15"/>
      <c r="Z91" s="15"/>
      <c r="AA91" s="15"/>
      <c r="AB91" s="15"/>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ht="15.75">
      <c r="A92" s="3"/>
      <c r="B92" s="3"/>
      <c r="C92" s="3"/>
      <c r="D92" s="3"/>
      <c r="E92" s="3"/>
      <c r="F92" s="3"/>
      <c r="G92" s="3"/>
      <c r="H92" s="15"/>
      <c r="I92" s="15"/>
      <c r="J92" s="15"/>
      <c r="K92" s="15"/>
      <c r="L92" s="15"/>
      <c r="M92" s="15"/>
      <c r="N92" s="15"/>
      <c r="O92" s="15"/>
      <c r="P92" s="15"/>
      <c r="Q92" s="15"/>
      <c r="R92" s="15"/>
      <c r="S92" s="15"/>
      <c r="T92" s="15"/>
      <c r="U92" s="15"/>
      <c r="V92" s="15"/>
      <c r="W92" s="15"/>
      <c r="X92" s="15"/>
      <c r="Y92" s="15"/>
      <c r="Z92" s="15"/>
      <c r="AA92" s="15"/>
      <c r="AB92" s="15"/>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ht="15.75">
      <c r="A93" s="3"/>
      <c r="B93" s="3"/>
      <c r="C93" s="3"/>
      <c r="D93" s="3"/>
      <c r="E93" s="3"/>
      <c r="F93" s="3"/>
      <c r="G93" s="3"/>
      <c r="H93" s="15"/>
      <c r="I93" s="15"/>
      <c r="J93" s="15"/>
      <c r="K93" s="15"/>
      <c r="L93" s="15"/>
      <c r="M93" s="15"/>
      <c r="N93" s="15"/>
      <c r="O93" s="15"/>
      <c r="P93" s="15"/>
      <c r="Q93" s="15"/>
      <c r="R93" s="15"/>
      <c r="S93" s="15"/>
      <c r="T93" s="15"/>
      <c r="U93" s="15"/>
      <c r="V93" s="15"/>
      <c r="W93" s="15"/>
      <c r="X93" s="15"/>
      <c r="Y93" s="15"/>
      <c r="Z93" s="15"/>
      <c r="AA93" s="15"/>
      <c r="AB93" s="15"/>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ht="15.75">
      <c r="A94" s="3"/>
      <c r="B94" s="3"/>
      <c r="C94" s="3"/>
      <c r="D94" s="3"/>
      <c r="E94" s="3"/>
      <c r="F94" s="3"/>
      <c r="G94" s="3"/>
      <c r="H94" s="15"/>
      <c r="I94" s="15"/>
      <c r="J94" s="15"/>
      <c r="K94" s="15"/>
      <c r="L94" s="15"/>
      <c r="M94" s="15"/>
      <c r="N94" s="15"/>
      <c r="O94" s="15"/>
      <c r="P94" s="15"/>
      <c r="Q94" s="15"/>
      <c r="R94" s="15"/>
      <c r="S94" s="15"/>
      <c r="T94" s="15"/>
      <c r="U94" s="15"/>
      <c r="V94" s="15"/>
      <c r="W94" s="15"/>
      <c r="X94" s="15"/>
      <c r="Y94" s="15"/>
      <c r="Z94" s="15"/>
      <c r="AA94" s="15"/>
      <c r="AB94" s="15"/>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ht="15.75">
      <c r="A95" s="3"/>
      <c r="B95" s="3"/>
      <c r="C95" s="3"/>
      <c r="D95" s="3"/>
      <c r="E95" s="3"/>
      <c r="F95" s="3"/>
      <c r="G95" s="3"/>
      <c r="H95" s="15"/>
      <c r="I95" s="15"/>
      <c r="J95" s="15"/>
      <c r="K95" s="15"/>
      <c r="L95" s="15"/>
      <c r="M95" s="15"/>
      <c r="N95" s="15"/>
      <c r="O95" s="15"/>
      <c r="P95" s="15"/>
      <c r="Q95" s="15"/>
      <c r="R95" s="15"/>
      <c r="S95" s="15"/>
      <c r="T95" s="15"/>
      <c r="U95" s="15"/>
      <c r="V95" s="15"/>
      <c r="W95" s="15"/>
      <c r="X95" s="15"/>
      <c r="Y95" s="15"/>
      <c r="Z95" s="15"/>
      <c r="AA95" s="15"/>
      <c r="AB95" s="15"/>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ht="15.75">
      <c r="A96" s="3"/>
      <c r="B96" s="3"/>
      <c r="C96" s="3"/>
      <c r="D96" s="3"/>
      <c r="E96" s="3"/>
      <c r="F96" s="3"/>
      <c r="G96" s="3"/>
      <c r="H96" s="15"/>
      <c r="I96" s="15"/>
      <c r="J96" s="15"/>
      <c r="K96" s="15"/>
      <c r="L96" s="15"/>
      <c r="M96" s="15"/>
      <c r="N96" s="15"/>
      <c r="O96" s="15"/>
      <c r="P96" s="15"/>
      <c r="Q96" s="15"/>
      <c r="R96" s="15"/>
      <c r="S96" s="15"/>
      <c r="T96" s="15"/>
      <c r="U96" s="15"/>
      <c r="V96" s="15"/>
      <c r="W96" s="15"/>
      <c r="X96" s="15"/>
      <c r="Y96" s="15"/>
      <c r="Z96" s="15"/>
      <c r="AA96" s="15"/>
      <c r="AB96" s="15"/>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ht="15.75">
      <c r="A97" s="3"/>
      <c r="B97" s="3"/>
      <c r="C97" s="3"/>
      <c r="D97" s="3"/>
      <c r="E97" s="3"/>
      <c r="F97" s="3"/>
      <c r="G97" s="3"/>
      <c r="H97" s="15"/>
      <c r="I97" s="15"/>
      <c r="J97" s="15"/>
      <c r="K97" s="15"/>
      <c r="L97" s="15"/>
      <c r="M97" s="15"/>
      <c r="N97" s="15"/>
      <c r="O97" s="15"/>
      <c r="P97" s="15"/>
      <c r="Q97" s="15"/>
      <c r="R97" s="15"/>
      <c r="S97" s="15"/>
      <c r="T97" s="15"/>
      <c r="U97" s="15"/>
      <c r="V97" s="15"/>
      <c r="W97" s="15"/>
      <c r="X97" s="15"/>
      <c r="Y97" s="15"/>
      <c r="Z97" s="15"/>
      <c r="AA97" s="15"/>
      <c r="AB97" s="15"/>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5.75">
      <c r="A98" s="3"/>
      <c r="B98" s="3"/>
      <c r="C98" s="3"/>
      <c r="D98" s="3"/>
      <c r="E98" s="3"/>
      <c r="F98" s="3"/>
      <c r="G98" s="3"/>
      <c r="H98" s="15"/>
      <c r="I98" s="15"/>
      <c r="J98" s="15"/>
      <c r="K98" s="15"/>
      <c r="L98" s="15"/>
      <c r="M98" s="15"/>
      <c r="N98" s="15"/>
      <c r="O98" s="15"/>
      <c r="P98" s="15"/>
      <c r="Q98" s="15"/>
      <c r="R98" s="15"/>
      <c r="S98" s="15"/>
      <c r="T98" s="15"/>
      <c r="U98" s="15"/>
      <c r="V98" s="15"/>
      <c r="W98" s="15"/>
      <c r="X98" s="15"/>
      <c r="Y98" s="15"/>
      <c r="Z98" s="15"/>
      <c r="AA98" s="15"/>
      <c r="AB98" s="15"/>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ht="15.75">
      <c r="A99" s="3"/>
      <c r="B99" s="3"/>
      <c r="C99" s="3"/>
      <c r="D99" s="3"/>
      <c r="E99" s="3"/>
      <c r="F99" s="3"/>
      <c r="G99" s="3"/>
      <c r="H99" s="15"/>
      <c r="I99" s="15"/>
      <c r="J99" s="15"/>
      <c r="K99" s="15"/>
      <c r="L99" s="15"/>
      <c r="M99" s="15"/>
      <c r="N99" s="15"/>
      <c r="O99" s="15"/>
      <c r="P99" s="15"/>
      <c r="Q99" s="15"/>
      <c r="R99" s="15"/>
      <c r="S99" s="15"/>
      <c r="T99" s="15"/>
      <c r="U99" s="15"/>
      <c r="V99" s="15"/>
      <c r="W99" s="15"/>
      <c r="X99" s="15"/>
      <c r="Y99" s="15"/>
      <c r="Z99" s="15"/>
      <c r="AA99" s="15"/>
      <c r="AB99" s="15"/>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ht="15.75">
      <c r="A100" s="3"/>
      <c r="B100" s="3"/>
      <c r="C100" s="3"/>
      <c r="D100" s="3"/>
      <c r="E100" s="3"/>
      <c r="F100" s="3"/>
      <c r="G100" s="3"/>
      <c r="H100" s="15"/>
      <c r="I100" s="15"/>
      <c r="J100" s="15"/>
      <c r="K100" s="15"/>
      <c r="L100" s="15"/>
      <c r="M100" s="15"/>
      <c r="N100" s="15"/>
      <c r="O100" s="15"/>
      <c r="P100" s="15"/>
      <c r="Q100" s="15"/>
      <c r="R100" s="15"/>
      <c r="S100" s="15"/>
      <c r="T100" s="15"/>
      <c r="U100" s="15"/>
      <c r="V100" s="15"/>
      <c r="W100" s="15"/>
      <c r="X100" s="15"/>
      <c r="Y100" s="15"/>
      <c r="Z100" s="15"/>
      <c r="AA100" s="15"/>
      <c r="AB100" s="15"/>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ht="15.75">
      <c r="A101" s="3"/>
      <c r="B101" s="3"/>
      <c r="C101" s="3"/>
      <c r="D101" s="3"/>
      <c r="E101" s="3"/>
      <c r="F101" s="3"/>
      <c r="G101" s="3"/>
      <c r="H101" s="15"/>
      <c r="I101" s="15"/>
      <c r="J101" s="15"/>
      <c r="K101" s="15"/>
      <c r="L101" s="15"/>
      <c r="M101" s="15"/>
      <c r="N101" s="15"/>
      <c r="O101" s="15"/>
      <c r="P101" s="15"/>
      <c r="Q101" s="15"/>
      <c r="R101" s="15"/>
      <c r="S101" s="15"/>
      <c r="T101" s="15"/>
      <c r="U101" s="15"/>
      <c r="V101" s="15"/>
      <c r="W101" s="15"/>
      <c r="X101" s="15"/>
      <c r="Y101" s="15"/>
      <c r="Z101" s="15"/>
      <c r="AA101" s="15"/>
      <c r="AB101" s="15"/>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ht="15.75">
      <c r="A102" s="3"/>
      <c r="B102" s="3"/>
      <c r="C102" s="3"/>
      <c r="D102" s="3"/>
      <c r="E102" s="3"/>
      <c r="F102" s="3"/>
      <c r="G102" s="3"/>
      <c r="H102" s="15"/>
      <c r="I102" s="15"/>
      <c r="J102" s="15"/>
      <c r="K102" s="15"/>
      <c r="L102" s="15"/>
      <c r="M102" s="15"/>
      <c r="N102" s="15"/>
      <c r="O102" s="15"/>
      <c r="P102" s="15"/>
      <c r="Q102" s="15"/>
      <c r="R102" s="15"/>
      <c r="S102" s="15"/>
      <c r="T102" s="15"/>
      <c r="U102" s="15"/>
      <c r="V102" s="15"/>
      <c r="W102" s="15"/>
      <c r="X102" s="15"/>
      <c r="Y102" s="15"/>
      <c r="Z102" s="15"/>
      <c r="AA102" s="15"/>
      <c r="AB102" s="15"/>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ht="15.75">
      <c r="A103" s="3"/>
      <c r="B103" s="3"/>
      <c r="C103" s="3"/>
      <c r="D103" s="3"/>
      <c r="E103" s="3"/>
      <c r="F103" s="3"/>
      <c r="G103" s="3"/>
      <c r="H103" s="15"/>
      <c r="I103" s="15"/>
      <c r="J103" s="15"/>
      <c r="K103" s="15"/>
      <c r="L103" s="15"/>
      <c r="M103" s="15"/>
      <c r="N103" s="15"/>
      <c r="O103" s="15"/>
      <c r="P103" s="15"/>
      <c r="Q103" s="15"/>
      <c r="R103" s="15"/>
      <c r="S103" s="15"/>
      <c r="T103" s="15"/>
      <c r="U103" s="15"/>
      <c r="V103" s="15"/>
      <c r="W103" s="15"/>
      <c r="X103" s="15"/>
      <c r="Y103" s="15"/>
      <c r="Z103" s="15"/>
      <c r="AA103" s="15"/>
      <c r="AB103" s="15"/>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ht="15.75">
      <c r="A104" s="3"/>
      <c r="B104" s="3"/>
      <c r="C104" s="3"/>
      <c r="D104" s="3"/>
      <c r="E104" s="3"/>
      <c r="F104" s="3"/>
      <c r="G104" s="3"/>
      <c r="H104" s="15"/>
      <c r="I104" s="15"/>
      <c r="J104" s="15"/>
      <c r="K104" s="15"/>
      <c r="L104" s="15"/>
      <c r="M104" s="15"/>
      <c r="N104" s="15"/>
      <c r="O104" s="15"/>
      <c r="P104" s="15"/>
      <c r="Q104" s="15"/>
      <c r="R104" s="15"/>
      <c r="S104" s="15"/>
      <c r="T104" s="15"/>
      <c r="U104" s="15"/>
      <c r="V104" s="15"/>
      <c r="W104" s="15"/>
      <c r="X104" s="15"/>
      <c r="Y104" s="15"/>
      <c r="Z104" s="15"/>
      <c r="AA104" s="15"/>
      <c r="AB104" s="15"/>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ht="15.75">
      <c r="A105" s="3"/>
      <c r="B105" s="3"/>
      <c r="C105" s="3"/>
      <c r="D105" s="3"/>
      <c r="E105" s="3"/>
      <c r="F105" s="3"/>
      <c r="G105" s="3"/>
      <c r="H105" s="15"/>
      <c r="I105" s="15"/>
      <c r="J105" s="15"/>
      <c r="K105" s="15"/>
      <c r="L105" s="15"/>
      <c r="M105" s="15"/>
      <c r="N105" s="15"/>
      <c r="O105" s="15"/>
      <c r="P105" s="15"/>
      <c r="Q105" s="15"/>
      <c r="R105" s="15"/>
      <c r="S105" s="15"/>
      <c r="T105" s="15"/>
      <c r="U105" s="15"/>
      <c r="V105" s="15"/>
      <c r="W105" s="15"/>
      <c r="X105" s="15"/>
      <c r="Y105" s="15"/>
      <c r="Z105" s="15"/>
      <c r="AA105" s="15"/>
      <c r="AB105" s="15"/>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ht="15.75">
      <c r="A106" s="3"/>
      <c r="B106" s="3"/>
      <c r="C106" s="3"/>
      <c r="D106" s="3"/>
      <c r="E106" s="3"/>
      <c r="F106" s="3"/>
      <c r="G106" s="3"/>
      <c r="H106" s="15"/>
      <c r="I106" s="15"/>
      <c r="J106" s="15"/>
      <c r="K106" s="15"/>
      <c r="L106" s="15"/>
      <c r="M106" s="15"/>
      <c r="N106" s="15"/>
      <c r="O106" s="15"/>
      <c r="P106" s="15"/>
      <c r="Q106" s="15"/>
      <c r="R106" s="15"/>
      <c r="S106" s="15"/>
      <c r="T106" s="15"/>
      <c r="U106" s="15"/>
      <c r="V106" s="15"/>
      <c r="W106" s="15"/>
      <c r="X106" s="15"/>
      <c r="Y106" s="15"/>
      <c r="Z106" s="15"/>
      <c r="AA106" s="15"/>
      <c r="AB106" s="15"/>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ht="15.75">
      <c r="A107" s="3"/>
      <c r="B107" s="3"/>
      <c r="C107" s="3"/>
      <c r="D107" s="3"/>
      <c r="E107" s="3"/>
      <c r="F107" s="3"/>
      <c r="G107" s="3"/>
      <c r="H107" s="15"/>
      <c r="I107" s="15"/>
      <c r="J107" s="15"/>
      <c r="K107" s="15"/>
      <c r="L107" s="15"/>
      <c r="M107" s="15"/>
      <c r="N107" s="15"/>
      <c r="O107" s="15"/>
      <c r="P107" s="15"/>
      <c r="Q107" s="15"/>
      <c r="R107" s="15"/>
      <c r="S107" s="15"/>
      <c r="T107" s="15"/>
      <c r="U107" s="15"/>
      <c r="V107" s="15"/>
      <c r="W107" s="15"/>
      <c r="X107" s="15"/>
      <c r="Y107" s="15"/>
      <c r="Z107" s="15"/>
      <c r="AA107" s="15"/>
      <c r="AB107" s="15"/>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ht="15.75">
      <c r="A108" s="3"/>
      <c r="B108" s="3"/>
      <c r="C108" s="3"/>
      <c r="D108" s="3"/>
      <c r="E108" s="3"/>
      <c r="F108" s="3"/>
      <c r="G108" s="3"/>
      <c r="H108" s="15"/>
      <c r="I108" s="15"/>
      <c r="J108" s="15"/>
      <c r="K108" s="15"/>
      <c r="L108" s="15"/>
      <c r="M108" s="15"/>
      <c r="N108" s="15"/>
      <c r="O108" s="15"/>
      <c r="P108" s="15"/>
      <c r="Q108" s="15"/>
      <c r="R108" s="15"/>
      <c r="S108" s="15"/>
      <c r="T108" s="15"/>
      <c r="U108" s="15"/>
      <c r="V108" s="15"/>
      <c r="W108" s="15"/>
      <c r="X108" s="15"/>
      <c r="Y108" s="15"/>
      <c r="Z108" s="15"/>
      <c r="AA108" s="15"/>
      <c r="AB108" s="15"/>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ht="15.75">
      <c r="A109" s="3"/>
      <c r="B109" s="3"/>
      <c r="C109" s="3"/>
      <c r="D109" s="3"/>
      <c r="E109" s="3"/>
      <c r="F109" s="3"/>
      <c r="G109" s="3"/>
      <c r="H109" s="15"/>
      <c r="I109" s="15"/>
      <c r="J109" s="15"/>
      <c r="K109" s="15"/>
      <c r="L109" s="15"/>
      <c r="M109" s="15"/>
      <c r="N109" s="15"/>
      <c r="O109" s="15"/>
      <c r="P109" s="15"/>
      <c r="Q109" s="15"/>
      <c r="R109" s="15"/>
      <c r="S109" s="15"/>
      <c r="T109" s="15"/>
      <c r="U109" s="15"/>
      <c r="V109" s="15"/>
      <c r="W109" s="15"/>
      <c r="X109" s="15"/>
      <c r="Y109" s="15"/>
      <c r="Z109" s="15"/>
      <c r="AA109" s="15"/>
      <c r="AB109" s="15"/>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ht="15.75">
      <c r="A110" s="3"/>
      <c r="B110" s="3"/>
      <c r="C110" s="3"/>
      <c r="D110" s="3"/>
      <c r="E110" s="3"/>
      <c r="F110" s="3"/>
      <c r="G110" s="3"/>
      <c r="H110" s="15"/>
      <c r="I110" s="15"/>
      <c r="J110" s="15"/>
      <c r="K110" s="15"/>
      <c r="L110" s="15"/>
      <c r="M110" s="15"/>
      <c r="N110" s="15"/>
      <c r="O110" s="15"/>
      <c r="P110" s="15"/>
      <c r="Q110" s="15"/>
      <c r="R110" s="15"/>
      <c r="S110" s="15"/>
      <c r="T110" s="15"/>
      <c r="U110" s="15"/>
      <c r="V110" s="15"/>
      <c r="W110" s="15"/>
      <c r="X110" s="15"/>
      <c r="Y110" s="15"/>
      <c r="Z110" s="15"/>
      <c r="AA110" s="15"/>
      <c r="AB110" s="15"/>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ht="15.75">
      <c r="A111" s="3"/>
      <c r="B111" s="3"/>
      <c r="C111" s="3"/>
      <c r="D111" s="3"/>
      <c r="E111" s="3"/>
      <c r="F111" s="3"/>
      <c r="G111" s="3"/>
      <c r="H111" s="15"/>
      <c r="I111" s="15"/>
      <c r="J111" s="15"/>
      <c r="K111" s="15"/>
      <c r="L111" s="15"/>
      <c r="M111" s="15"/>
      <c r="N111" s="15"/>
      <c r="O111" s="15"/>
      <c r="P111" s="15"/>
      <c r="Q111" s="15"/>
      <c r="R111" s="15"/>
      <c r="S111" s="15"/>
      <c r="T111" s="15"/>
      <c r="U111" s="15"/>
      <c r="V111" s="15"/>
      <c r="W111" s="15"/>
      <c r="X111" s="15"/>
      <c r="Y111" s="15"/>
      <c r="Z111" s="15"/>
      <c r="AA111" s="15"/>
      <c r="AB111" s="15"/>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ht="15.75">
      <c r="A112" s="3"/>
      <c r="B112" s="3"/>
      <c r="C112" s="3"/>
      <c r="D112" s="3"/>
      <c r="E112" s="3"/>
      <c r="F112" s="3"/>
      <c r="G112" s="3"/>
      <c r="H112" s="15"/>
      <c r="I112" s="15"/>
      <c r="J112" s="15"/>
      <c r="K112" s="15"/>
      <c r="L112" s="15"/>
      <c r="M112" s="15"/>
      <c r="N112" s="15"/>
      <c r="O112" s="15"/>
      <c r="P112" s="15"/>
      <c r="Q112" s="15"/>
      <c r="R112" s="15"/>
      <c r="S112" s="15"/>
      <c r="T112" s="15"/>
      <c r="U112" s="15"/>
      <c r="V112" s="15"/>
      <c r="W112" s="15"/>
      <c r="X112" s="15"/>
      <c r="Y112" s="15"/>
      <c r="Z112" s="15"/>
      <c r="AA112" s="15"/>
      <c r="AB112" s="15"/>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ht="15.75">
      <c r="A113" s="3"/>
      <c r="B113" s="3"/>
      <c r="C113" s="3"/>
      <c r="D113" s="3"/>
      <c r="E113" s="3"/>
      <c r="F113" s="3"/>
      <c r="G113" s="3"/>
      <c r="H113" s="15"/>
      <c r="I113" s="15"/>
      <c r="J113" s="15"/>
      <c r="K113" s="15"/>
      <c r="L113" s="15"/>
      <c r="M113" s="15"/>
      <c r="N113" s="15"/>
      <c r="O113" s="15"/>
      <c r="P113" s="15"/>
      <c r="Q113" s="15"/>
      <c r="R113" s="15"/>
      <c r="S113" s="15"/>
      <c r="T113" s="15"/>
      <c r="U113" s="15"/>
      <c r="V113" s="15"/>
      <c r="W113" s="15"/>
      <c r="X113" s="15"/>
      <c r="Y113" s="15"/>
      <c r="Z113" s="15"/>
      <c r="AA113" s="15"/>
      <c r="AB113" s="15"/>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ht="15.75">
      <c r="A114" s="3"/>
      <c r="B114" s="3"/>
      <c r="C114" s="3"/>
      <c r="D114" s="3"/>
      <c r="E114" s="3"/>
      <c r="F114" s="3"/>
      <c r="G114" s="3"/>
      <c r="H114" s="15"/>
      <c r="I114" s="15"/>
      <c r="J114" s="15"/>
      <c r="K114" s="15"/>
      <c r="L114" s="15"/>
      <c r="M114" s="15"/>
      <c r="N114" s="15"/>
      <c r="O114" s="15"/>
      <c r="P114" s="15"/>
      <c r="Q114" s="15"/>
      <c r="R114" s="15"/>
      <c r="S114" s="15"/>
      <c r="T114" s="15"/>
      <c r="U114" s="15"/>
      <c r="V114" s="15"/>
      <c r="W114" s="15"/>
      <c r="X114" s="15"/>
      <c r="Y114" s="15"/>
      <c r="Z114" s="15"/>
      <c r="AA114" s="15"/>
      <c r="AB114" s="15"/>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ht="15.75">
      <c r="A115" s="3"/>
      <c r="B115" s="3"/>
      <c r="C115" s="3"/>
      <c r="D115" s="3"/>
      <c r="E115" s="3"/>
      <c r="F115" s="3"/>
      <c r="G115" s="3"/>
      <c r="H115" s="15"/>
      <c r="I115" s="15"/>
      <c r="J115" s="15"/>
      <c r="K115" s="15"/>
      <c r="L115" s="15"/>
      <c r="M115" s="15"/>
      <c r="N115" s="15"/>
      <c r="O115" s="15"/>
      <c r="P115" s="15"/>
      <c r="Q115" s="15"/>
      <c r="R115" s="15"/>
      <c r="S115" s="15"/>
      <c r="T115" s="15"/>
      <c r="U115" s="15"/>
      <c r="V115" s="15"/>
      <c r="W115" s="15"/>
      <c r="X115" s="15"/>
      <c r="Y115" s="15"/>
      <c r="Z115" s="15"/>
      <c r="AA115" s="15"/>
      <c r="AB115" s="15"/>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ht="15.75">
      <c r="A116" s="3"/>
      <c r="B116" s="3"/>
      <c r="C116" s="3"/>
      <c r="D116" s="3"/>
      <c r="E116" s="3"/>
      <c r="F116" s="3"/>
      <c r="G116" s="3"/>
      <c r="H116" s="15"/>
      <c r="I116" s="15"/>
      <c r="J116" s="15"/>
      <c r="K116" s="15"/>
      <c r="L116" s="15"/>
      <c r="M116" s="15"/>
      <c r="N116" s="15"/>
      <c r="O116" s="15"/>
      <c r="P116" s="15"/>
      <c r="Q116" s="15"/>
      <c r="R116" s="15"/>
      <c r="S116" s="15"/>
      <c r="T116" s="15"/>
      <c r="U116" s="15"/>
      <c r="V116" s="15"/>
      <c r="W116" s="15"/>
      <c r="X116" s="15"/>
      <c r="Y116" s="15"/>
      <c r="Z116" s="15"/>
      <c r="AA116" s="15"/>
      <c r="AB116" s="15"/>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ht="15.75">
      <c r="A117" s="3"/>
      <c r="B117" s="3"/>
      <c r="C117" s="3"/>
      <c r="D117" s="3"/>
      <c r="E117" s="3"/>
      <c r="F117" s="3"/>
      <c r="G117" s="3"/>
      <c r="H117" s="15"/>
      <c r="I117" s="15"/>
      <c r="J117" s="15"/>
      <c r="K117" s="15"/>
      <c r="L117" s="15"/>
      <c r="M117" s="15"/>
      <c r="N117" s="15"/>
      <c r="O117" s="15"/>
      <c r="P117" s="15"/>
      <c r="Q117" s="15"/>
      <c r="R117" s="15"/>
      <c r="S117" s="15"/>
      <c r="T117" s="15"/>
      <c r="U117" s="15"/>
      <c r="V117" s="15"/>
      <c r="W117" s="15"/>
      <c r="X117" s="15"/>
      <c r="Y117" s="15"/>
      <c r="Z117" s="15"/>
      <c r="AA117" s="15"/>
      <c r="AB117" s="15"/>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ht="15.75">
      <c r="A118" s="3"/>
      <c r="B118" s="3"/>
      <c r="C118" s="3"/>
      <c r="D118" s="3"/>
      <c r="E118" s="3"/>
      <c r="F118" s="3"/>
      <c r="G118" s="3"/>
      <c r="H118" s="15"/>
      <c r="I118" s="15"/>
      <c r="J118" s="15"/>
      <c r="K118" s="15"/>
      <c r="L118" s="15"/>
      <c r="M118" s="15"/>
      <c r="N118" s="15"/>
      <c r="O118" s="15"/>
      <c r="P118" s="15"/>
      <c r="Q118" s="15"/>
      <c r="R118" s="15"/>
      <c r="S118" s="15"/>
      <c r="T118" s="15"/>
      <c r="U118" s="15"/>
      <c r="V118" s="15"/>
      <c r="W118" s="15"/>
      <c r="X118" s="15"/>
      <c r="Y118" s="15"/>
      <c r="Z118" s="15"/>
      <c r="AA118" s="15"/>
      <c r="AB118" s="15"/>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ht="15.75">
      <c r="A119" s="3"/>
      <c r="B119" s="3"/>
      <c r="C119" s="3"/>
      <c r="D119" s="3"/>
      <c r="E119" s="3"/>
      <c r="F119" s="3"/>
      <c r="G119" s="3"/>
      <c r="H119" s="15"/>
      <c r="I119" s="15"/>
      <c r="J119" s="15"/>
      <c r="K119" s="15"/>
      <c r="L119" s="15"/>
      <c r="M119" s="15"/>
      <c r="N119" s="15"/>
      <c r="O119" s="15"/>
      <c r="P119" s="15"/>
      <c r="Q119" s="15"/>
      <c r="R119" s="15"/>
      <c r="S119" s="15"/>
      <c r="T119" s="15"/>
      <c r="U119" s="15"/>
      <c r="V119" s="15"/>
      <c r="W119" s="15"/>
      <c r="X119" s="15"/>
      <c r="Y119" s="15"/>
      <c r="Z119" s="15"/>
      <c r="AA119" s="15"/>
      <c r="AB119" s="15"/>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ht="15.75">
      <c r="A120" s="3"/>
      <c r="B120" s="3"/>
      <c r="C120" s="3"/>
      <c r="D120" s="3"/>
      <c r="E120" s="3"/>
      <c r="F120" s="3"/>
      <c r="G120" s="3"/>
      <c r="H120" s="15"/>
      <c r="I120" s="15"/>
      <c r="J120" s="15"/>
      <c r="K120" s="15"/>
      <c r="L120" s="15"/>
      <c r="M120" s="15"/>
      <c r="N120" s="15"/>
      <c r="O120" s="15"/>
      <c r="P120" s="15"/>
      <c r="Q120" s="15"/>
      <c r="R120" s="15"/>
      <c r="S120" s="15"/>
      <c r="T120" s="15"/>
      <c r="U120" s="15"/>
      <c r="V120" s="15"/>
      <c r="W120" s="15"/>
      <c r="X120" s="15"/>
      <c r="Y120" s="15"/>
      <c r="Z120" s="15"/>
      <c r="AA120" s="15"/>
      <c r="AB120" s="15"/>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ht="15.75">
      <c r="A121" s="3"/>
      <c r="B121" s="3"/>
      <c r="C121" s="3"/>
      <c r="D121" s="3"/>
      <c r="E121" s="3"/>
      <c r="F121" s="3"/>
      <c r="G121" s="3"/>
      <c r="H121" s="15"/>
      <c r="I121" s="15"/>
      <c r="J121" s="15"/>
      <c r="K121" s="15"/>
      <c r="L121" s="15"/>
      <c r="M121" s="15"/>
      <c r="N121" s="15"/>
      <c r="O121" s="15"/>
      <c r="P121" s="15"/>
      <c r="Q121" s="15"/>
      <c r="R121" s="15"/>
      <c r="S121" s="15"/>
      <c r="T121" s="15"/>
      <c r="U121" s="15"/>
      <c r="V121" s="15"/>
      <c r="W121" s="15"/>
      <c r="X121" s="15"/>
      <c r="Y121" s="15"/>
      <c r="Z121" s="15"/>
      <c r="AA121" s="15"/>
      <c r="AB121" s="15"/>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c r="A122" s="3"/>
      <c r="B122" s="3"/>
      <c r="C122" s="3"/>
      <c r="D122" s="3"/>
      <c r="E122" s="3"/>
      <c r="F122" s="3"/>
      <c r="G122" s="3"/>
      <c r="H122" s="3"/>
      <c r="I122" s="3"/>
      <c r="J122" s="3"/>
      <c r="K122" s="3"/>
      <c r="L122" s="78"/>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c r="A123" s="3"/>
      <c r="B123" s="3"/>
      <c r="C123" s="3"/>
      <c r="D123" s="3"/>
      <c r="E123" s="3"/>
      <c r="F123" s="3"/>
      <c r="G123" s="3"/>
      <c r="H123" s="3"/>
      <c r="I123" s="3"/>
      <c r="J123" s="3"/>
      <c r="K123" s="3"/>
      <c r="L123" s="78"/>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c r="A124" s="3"/>
      <c r="B124" s="3"/>
      <c r="C124" s="3"/>
      <c r="D124" s="3"/>
      <c r="E124" s="3"/>
      <c r="F124" s="3"/>
      <c r="G124" s="3"/>
      <c r="H124" s="3"/>
      <c r="I124" s="3"/>
      <c r="J124" s="3"/>
      <c r="K124" s="3"/>
      <c r="L124" s="78"/>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c r="A125" s="3"/>
      <c r="B125" s="3"/>
      <c r="C125" s="3"/>
      <c r="D125" s="3"/>
      <c r="E125" s="3"/>
      <c r="F125" s="3"/>
      <c r="G125" s="3"/>
      <c r="H125" s="3"/>
      <c r="I125" s="3"/>
      <c r="J125" s="3"/>
      <c r="K125" s="3"/>
      <c r="L125" s="78"/>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c r="A126" s="3"/>
      <c r="B126" s="3"/>
      <c r="C126" s="3"/>
      <c r="D126" s="3"/>
      <c r="E126" s="3"/>
      <c r="F126" s="3"/>
      <c r="G126" s="3"/>
      <c r="H126" s="3"/>
      <c r="I126" s="3"/>
      <c r="J126" s="3"/>
      <c r="K126" s="3"/>
      <c r="L126" s="78"/>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c r="G127" s="3"/>
      <c r="H127" s="3"/>
      <c r="I127" s="3"/>
      <c r="J127" s="3"/>
      <c r="K127" s="3"/>
      <c r="L127" s="78"/>
      <c r="M127" s="3"/>
      <c r="N127" s="3"/>
      <c r="O127" s="3"/>
      <c r="P127" s="3"/>
      <c r="Q127" s="3"/>
      <c r="R127" s="3"/>
      <c r="S127" s="3"/>
      <c r="T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c r="G128" s="3"/>
      <c r="K128" s="3"/>
      <c r="L128" s="78"/>
      <c r="M128" s="3"/>
      <c r="N128" s="3"/>
      <c r="O128" s="3"/>
      <c r="P128" s="3"/>
      <c r="Q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3:16">
      <c r="M129" s="3"/>
      <c r="N129" s="3"/>
      <c r="O129" s="3"/>
      <c r="P129" s="3"/>
    </row>
  </sheetData>
  <sheetProtection sheet="1" objects="1" scenarios="1"/>
  <mergeCells count="5">
    <mergeCell ref="E3:E5"/>
    <mergeCell ref="E16:E18"/>
    <mergeCell ref="D16:D18"/>
    <mergeCell ref="C16:C18"/>
    <mergeCell ref="D30:E30"/>
  </mergeCells>
  <dataValidations count="4">
    <dataValidation type="list" allowBlank="1" showInputMessage="1" showErrorMessage="1" sqref="D30">
      <formula1>"age at interview,age at birth"</formula1>
    </dataValidation>
    <dataValidation type="decimal" operator="greaterThanOrEqual" allowBlank="1" showInputMessage="1" showErrorMessage="1" error="Enter number &gt;= 0" sqref="B34:B40">
      <formula1>0</formula1>
    </dataValidation>
    <dataValidation type="decimal" operator="greaterThanOrEqual" allowBlank="1" showInputMessage="1" showErrorMessage="1" error="Enter number &gt;= 0" sqref="B6:C14">
      <formula1>0</formula1>
    </dataValidation>
    <dataValidation type="decimal" allowBlank="1" showInputMessage="1" showErrorMessage="1" error="Enter proportion between 0 and 1" sqref="C19:C27">
      <formula1>0</formula1>
      <formula2>1</formula2>
    </dataValidation>
  </dataValidations>
  <printOptions horizontalCentered="1"/>
  <pageMargins left="0.51181102362204722" right="0.51181102362204722" top="0.74803149606299213" bottom="0.74803149606299213" header="0.31496062992125984" footer="0.51181102362204722"/>
  <pageSetup paperSize="9" scale="80" orientation="portrait" r:id="rId1"/>
  <headerFooter alignWithMargins="0">
    <oddHeader>&amp;L&amp;"Cambria,Bold"&amp;14Tools for Demographic Estimation&amp;R&amp;"Cambria,Bold"&amp;14Orphanhood</oddHeader>
    <oddFooter>&amp;L&amp;"Cambria,Regular"&amp;F&amp;R&amp;"Cambria,Regular"&amp;D  &amp;T</oddFooter>
  </headerFooter>
  <rowBreaks count="1" manualBreakCount="1">
    <brk id="48" max="16383"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H129"/>
  <sheetViews>
    <sheetView topLeftCell="A10" zoomScaleNormal="100" workbookViewId="0">
      <selection activeCell="B6" sqref="B6"/>
    </sheetView>
  </sheetViews>
  <sheetFormatPr defaultRowHeight="15"/>
  <cols>
    <col min="1" max="1" width="6.33203125" style="61" customWidth="1"/>
    <col min="2" max="5" width="8.77734375" style="61" customWidth="1"/>
    <col min="6" max="6" width="4.33203125" style="61" customWidth="1"/>
    <col min="7" max="11" width="8.77734375" style="61" customWidth="1"/>
    <col min="12" max="12" width="2.5546875" style="61" customWidth="1"/>
    <col min="13" max="13" width="6.77734375" style="61" customWidth="1"/>
    <col min="14" max="15" width="7.77734375" style="61" customWidth="1"/>
    <col min="16" max="16" width="10" style="61" customWidth="1"/>
    <col min="17" max="17" width="8.21875" style="61" customWidth="1"/>
    <col min="18" max="18" width="7.6640625" style="61" customWidth="1"/>
    <col min="19" max="19" width="7.5546875" style="61" customWidth="1"/>
    <col min="20" max="21" width="8.88671875" style="61"/>
    <col min="22" max="22" width="9.77734375" style="61" customWidth="1"/>
    <col min="23" max="16384" width="8.88671875" style="61"/>
  </cols>
  <sheetData>
    <row r="1" spans="1:60" ht="15" customHeight="1">
      <c r="A1" s="6" t="s">
        <v>60</v>
      </c>
      <c r="B1" s="3"/>
      <c r="C1" s="3"/>
      <c r="D1" s="3"/>
      <c r="E1" s="3"/>
      <c r="F1" s="3"/>
      <c r="G1" s="6" t="str">
        <f>Introduction!D10</f>
        <v>Kenya</v>
      </c>
      <c r="H1" s="6" t="s">
        <v>61</v>
      </c>
      <c r="I1" s="3"/>
      <c r="J1" s="138" t="s">
        <v>87</v>
      </c>
      <c r="K1" s="60">
        <f>Introduction!D13</f>
        <v>36396</v>
      </c>
      <c r="L1" s="8"/>
      <c r="M1" s="15" t="s">
        <v>33</v>
      </c>
      <c r="N1" s="3"/>
      <c r="O1" s="3"/>
      <c r="P1" s="3"/>
      <c r="Q1" s="3"/>
      <c r="R1" s="3"/>
      <c r="S1" s="138" t="s">
        <v>112</v>
      </c>
      <c r="T1" s="3">
        <f>Date_of_survey</f>
        <v>1999.6438356164383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ht="15" customHeight="1">
      <c r="A2" s="6"/>
      <c r="B2" s="3"/>
      <c r="C2" s="3"/>
      <c r="D2" s="3"/>
      <c r="E2" s="3"/>
      <c r="F2" s="3"/>
      <c r="G2" s="6"/>
      <c r="H2" s="6"/>
      <c r="I2" s="3"/>
      <c r="J2" s="138"/>
      <c r="K2" s="60"/>
      <c r="L2" s="8"/>
      <c r="M2" s="15"/>
      <c r="N2" s="3"/>
      <c r="O2" s="3"/>
      <c r="P2" s="3"/>
      <c r="Q2" s="3"/>
      <c r="R2" s="3"/>
      <c r="S2" s="138"/>
      <c r="T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ht="15" customHeight="1">
      <c r="A3" s="143"/>
      <c r="B3" s="142"/>
      <c r="C3" s="142"/>
      <c r="D3" s="163"/>
      <c r="E3" s="213" t="s">
        <v>115</v>
      </c>
      <c r="F3" s="22"/>
      <c r="G3" s="142"/>
      <c r="H3" s="142"/>
      <c r="I3" s="142"/>
      <c r="J3" s="22" t="s">
        <v>113</v>
      </c>
      <c r="K3" s="144"/>
      <c r="L3" s="9"/>
      <c r="M3" s="22" t="s">
        <v>0</v>
      </c>
      <c r="N3" s="22" t="s">
        <v>29</v>
      </c>
      <c r="O3" s="22" t="s">
        <v>3</v>
      </c>
      <c r="P3" s="22" t="s">
        <v>30</v>
      </c>
      <c r="Q3" s="22" t="s">
        <v>56</v>
      </c>
      <c r="R3" s="22" t="s">
        <v>16</v>
      </c>
      <c r="S3" s="22" t="s">
        <v>31</v>
      </c>
      <c r="T3" s="62"/>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ht="15" customHeight="1">
      <c r="A4" s="32" t="s">
        <v>0</v>
      </c>
      <c r="B4" s="32" t="s">
        <v>1</v>
      </c>
      <c r="C4" s="32" t="s">
        <v>70</v>
      </c>
      <c r="D4" s="32" t="s">
        <v>3</v>
      </c>
      <c r="E4" s="214"/>
      <c r="F4" s="32" t="s">
        <v>0</v>
      </c>
      <c r="G4" s="139" t="s">
        <v>66</v>
      </c>
      <c r="H4" s="33" t="s">
        <v>30</v>
      </c>
      <c r="I4" s="32" t="s">
        <v>4</v>
      </c>
      <c r="J4" s="32" t="s">
        <v>114</v>
      </c>
      <c r="K4" s="140"/>
      <c r="L4" s="9"/>
      <c r="M4" s="32" t="s">
        <v>51</v>
      </c>
      <c r="N4" s="32" t="s">
        <v>50</v>
      </c>
      <c r="O4" s="32" t="s">
        <v>53</v>
      </c>
      <c r="P4" s="32" t="s">
        <v>54</v>
      </c>
      <c r="Q4" s="32" t="s">
        <v>55</v>
      </c>
      <c r="R4" s="32" t="s">
        <v>62</v>
      </c>
      <c r="S4" s="32" t="s">
        <v>57</v>
      </c>
      <c r="T4" s="32" t="s">
        <v>6</v>
      </c>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ht="15" customHeight="1">
      <c r="A5" s="23" t="s">
        <v>51</v>
      </c>
      <c r="B5" s="23" t="s">
        <v>76</v>
      </c>
      <c r="C5" s="23" t="s">
        <v>52</v>
      </c>
      <c r="D5" s="167" t="s">
        <v>52</v>
      </c>
      <c r="E5" s="215"/>
      <c r="F5" s="34" t="s">
        <v>17</v>
      </c>
      <c r="G5" s="24" t="s">
        <v>67</v>
      </c>
      <c r="H5" s="23" t="s">
        <v>68</v>
      </c>
      <c r="I5" s="42" t="s">
        <v>58</v>
      </c>
      <c r="J5" s="88" t="str">
        <f>Introduction!D12</f>
        <v>30q30</v>
      </c>
      <c r="K5" s="25" t="s">
        <v>6</v>
      </c>
      <c r="L5" s="10"/>
      <c r="M5" s="63"/>
      <c r="N5" s="34" t="s">
        <v>41</v>
      </c>
      <c r="O5" s="23" t="s">
        <v>35</v>
      </c>
      <c r="P5" s="34" t="s">
        <v>46</v>
      </c>
      <c r="Q5" s="23" t="s">
        <v>36</v>
      </c>
      <c r="R5" s="23" t="s">
        <v>65</v>
      </c>
      <c r="S5" s="34" t="s">
        <v>48</v>
      </c>
      <c r="T5" s="6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ht="15" customHeight="1">
      <c r="A6" s="26" t="s">
        <v>7</v>
      </c>
      <c r="B6" s="184">
        <v>1903060</v>
      </c>
      <c r="C6" s="184">
        <v>1749760</v>
      </c>
      <c r="D6" s="64">
        <f>C6/B6</f>
        <v>0.91944552457620887</v>
      </c>
      <c r="E6" s="129">
        <f t="shared" ref="E6:E12" ca="1" si="0">MBAR_m</f>
        <v>32.96050811424012</v>
      </c>
      <c r="F6" s="168">
        <v>15</v>
      </c>
      <c r="G6" s="48">
        <f ca="1">IF(AND(D6&gt;0,D6&lt;1,D7&gt;0,D7&lt;1),'Model data'!L30+'Model data'!M30*E6 +'Model data'!N30*D6+'Model data'!O30*D7,NA())</f>
        <v>0.86933283491013602</v>
      </c>
      <c r="H6" s="48">
        <f>IF(Introduction!$D$11="AIDS",'Model data'!G31,'Model data'!D31)</f>
        <v>0.56138919450631619</v>
      </c>
      <c r="I6" s="130">
        <f ca="1">-0.5*LN(1+(G6/H6-1/IF(Introduction!$D$11="AIDS",'Model data'!G$28,'Model data'!$D$28))/(1-G6))</f>
        <v>-0.36510222140984699</v>
      </c>
      <c r="J6" s="197">
        <f ca="1">IF(Introduction!$D$11="AIDS",1-(1+EXP(2*(I6+IF(Introduction!D$12="45q15",'Model data'!$G$3,'Model data'!$G$6))))/(1+EXP(2*(I6+'Model data'!$G$12))),1-(1+EXP(2*(I6+IF(Introduction!D$12="45q15",'Model data'!$C$24,'Model data'!$C$27))))/(1+EXP(2*(I6+'Model data'!$C$33))))</f>
        <v>0.24988217012727409</v>
      </c>
      <c r="K6" s="198">
        <f ca="1">T6</f>
        <v>1994.5391330915063</v>
      </c>
      <c r="L6" s="11"/>
      <c r="M6" s="26" t="s">
        <v>7</v>
      </c>
      <c r="N6" s="40">
        <v>10</v>
      </c>
      <c r="O6" s="27">
        <f t="shared" ref="O6:O12" si="1">SQRT(D6*D7)</f>
        <v>0.9012637070265429</v>
      </c>
      <c r="P6" s="27">
        <f t="shared" ref="P6:P12" ca="1" si="2">(1-(MBAR_m+N6)/80)/(1-(MBAR_m-0.75)/80)</f>
        <v>0.77505515175391027</v>
      </c>
      <c r="Q6" s="27">
        <f t="shared" ref="Q6:Q12" ca="1" si="3">LN(O6/P6)/3</f>
        <v>5.0287902338247377E-2</v>
      </c>
      <c r="R6" s="46">
        <f>(N6+0.75)/2</f>
        <v>5.375</v>
      </c>
      <c r="S6" s="28">
        <f t="shared" ref="S6:S12" ca="1" si="4">R6*(1-Q6)</f>
        <v>5.1047025249319198</v>
      </c>
      <c r="T6" s="38">
        <f t="shared" ref="T6:T12" ca="1" si="5">$T$1-S6</f>
        <v>1994.5391330915063</v>
      </c>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ht="15" customHeight="1">
      <c r="A7" s="26" t="s">
        <v>8</v>
      </c>
      <c r="B7" s="183">
        <v>1930360</v>
      </c>
      <c r="C7" s="183">
        <v>1705360</v>
      </c>
      <c r="D7" s="64">
        <f t="shared" ref="D7:D13" si="6">C7/B7</f>
        <v>0.88344143061397873</v>
      </c>
      <c r="E7" s="129">
        <f t="shared" ca="1" si="0"/>
        <v>32.96050811424012</v>
      </c>
      <c r="F7" s="168">
        <v>15</v>
      </c>
      <c r="G7" s="48">
        <f ca="1">IF(AND(D7&gt;0,D7&lt;1,D8&gt;0,D8&lt;1),'Model data'!L31+'Model data'!M31*E7 +'Model data'!N31*D7+'Model data'!O31*D8,NA())</f>
        <v>0.87216183528356983</v>
      </c>
      <c r="H7" s="48">
        <f>IF(Introduction!$D$11="AIDS",'Model data'!G31,'Model data'!D31)</f>
        <v>0.56138919450631619</v>
      </c>
      <c r="I7" s="130">
        <f ca="1">-0.5*LN(1+(G7/H7-1/IF(Introduction!$D$11="AIDS",'Model data'!G$28,'Model data'!$D$28))/(1-G7))</f>
        <v>-0.38010482947787072</v>
      </c>
      <c r="J7" s="197">
        <f ca="1">IF(Introduction!$D$11="AIDS",1-(1+EXP(2*(I7+IF(Introduction!D$12="45q15",'Model data'!$G$3,'Model data'!$G$6))))/(1+EXP(2*(I7+'Model data'!$G$12))),1-(1+EXP(2*(I7+IF(Introduction!D$12="45q15",'Model data'!$C$24,'Model data'!$C$27))))/(1+EXP(2*(I7+'Model data'!$C$33))))</f>
        <v>0.24504562749859193</v>
      </c>
      <c r="K7" s="198">
        <f ca="1">T7</f>
        <v>1992.4219666379479</v>
      </c>
      <c r="L7" s="11"/>
      <c r="M7" s="26" t="s">
        <v>8</v>
      </c>
      <c r="N7" s="40">
        <f>N6+5</f>
        <v>15</v>
      </c>
      <c r="O7" s="27">
        <f t="shared" si="1"/>
        <v>0.85982646132094864</v>
      </c>
      <c r="P7" s="27">
        <f t="shared" ca="1" si="2"/>
        <v>0.67042964094177537</v>
      </c>
      <c r="Q7" s="27">
        <f t="shared" ca="1" si="3"/>
        <v>8.2937272572641649E-2</v>
      </c>
      <c r="R7" s="47">
        <f t="shared" ref="R7:R12" si="7">(N7+0.75)/2</f>
        <v>7.875</v>
      </c>
      <c r="S7" s="28">
        <f t="shared" ca="1" si="4"/>
        <v>7.2218689784904475</v>
      </c>
      <c r="T7" s="38">
        <f t="shared" ca="1" si="5"/>
        <v>1992.4219666379479</v>
      </c>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ht="15" customHeight="1">
      <c r="A8" s="26" t="s">
        <v>9</v>
      </c>
      <c r="B8" s="184">
        <v>1669800</v>
      </c>
      <c r="C8" s="184">
        <v>1397360</v>
      </c>
      <c r="D8" s="64">
        <f t="shared" si="6"/>
        <v>0.83684273565696488</v>
      </c>
      <c r="E8" s="129">
        <f t="shared" ca="1" si="0"/>
        <v>32.96050811424012</v>
      </c>
      <c r="F8" s="168">
        <v>20</v>
      </c>
      <c r="G8" s="48">
        <f ca="1">IF(AND(D8&gt;0,D8&lt;1,D9&gt;0,D9&lt;1),'Model data'!L32+'Model data'!M32*E8 +'Model data'!N32*D8+'Model data'!O32*D9,NA())</f>
        <v>0.82821653096456149</v>
      </c>
      <c r="H8" s="48">
        <f>IF(Introduction!$D$11="AIDS",'Model data'!G32,'Model data'!D32)</f>
        <v>0.51886167614812073</v>
      </c>
      <c r="I8" s="130">
        <f ca="1">-0.5*LN(1+(G8/H8-1/IF(Introduction!$D$11="AIDS",'Model data'!G$28,'Model data'!$D$28))/(1-G8))</f>
        <v>-0.36992962772992982</v>
      </c>
      <c r="J8" s="197">
        <f ca="1">IF(Introduction!$D$11="AIDS",1-(1+EXP(2*(I8+IF(Introduction!D$12="45q15",'Model data'!$G$3,'Model data'!$G$6))))/(1+EXP(2*(I8+'Model data'!$G$12))),1-(1+EXP(2*(I8+IF(Introduction!D$12="45q15",'Model data'!$C$24,'Model data'!$C$27))))/(1+EXP(2*(I8+'Model data'!$C$33))))</f>
        <v>0.248321125987086</v>
      </c>
      <c r="K8" s="198">
        <f ca="1">T8</f>
        <v>1990.485180956078</v>
      </c>
      <c r="L8" s="11"/>
      <c r="M8" s="26" t="s">
        <v>9</v>
      </c>
      <c r="N8" s="40">
        <f t="shared" ref="N8:N12" si="8">N7+5</f>
        <v>20</v>
      </c>
      <c r="O8" s="27">
        <f t="shared" si="1"/>
        <v>0.80429190848958321</v>
      </c>
      <c r="P8" s="27">
        <f t="shared" ca="1" si="2"/>
        <v>0.56580413012964059</v>
      </c>
      <c r="Q8" s="27">
        <f t="shared" ca="1" si="3"/>
        <v>0.11723810502551679</v>
      </c>
      <c r="R8" s="47">
        <f t="shared" si="7"/>
        <v>10.375</v>
      </c>
      <c r="S8" s="28">
        <f t="shared" ca="1" si="4"/>
        <v>9.1586546603602628</v>
      </c>
      <c r="T8" s="38">
        <f t="shared" ca="1" si="5"/>
        <v>1990.485180956078</v>
      </c>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ht="15" customHeight="1">
      <c r="A9" s="26" t="s">
        <v>10</v>
      </c>
      <c r="B9" s="183">
        <v>1474320</v>
      </c>
      <c r="C9" s="183">
        <v>1139660</v>
      </c>
      <c r="D9" s="64">
        <f t="shared" si="6"/>
        <v>0.77300721688642904</v>
      </c>
      <c r="E9" s="129">
        <f t="shared" ca="1" si="0"/>
        <v>32.96050811424012</v>
      </c>
      <c r="F9" s="168">
        <v>25</v>
      </c>
      <c r="G9" s="48">
        <f ca="1">IF(AND(D9&gt;0,D9&lt;1,D10&gt;0,D10&lt;1),'Model data'!L33+'Model data'!M33*E9 +'Model data'!N33*D9+'Model data'!O33*D10,NA())</f>
        <v>0.76535975932021116</v>
      </c>
      <c r="H9" s="48">
        <f>IF(Introduction!$D$11="AIDS",'Model data'!G33,'Model data'!D33)</f>
        <v>0.47002433974235502</v>
      </c>
      <c r="I9" s="130">
        <f ca="1">-0.5*LN(1+(G9/H9-1/IF(Introduction!$D$11="AIDS",'Model data'!G$28,'Model data'!$D$28))/(1-G9))</f>
        <v>-0.33109507472277394</v>
      </c>
      <c r="J9" s="197">
        <f ca="1">IF(Introduction!$D$11="AIDS",1-(1+EXP(2*(I9+IF(Introduction!D$12="45q15",'Model data'!$G$3,'Model data'!$G$6))))/(1+EXP(2*(I9+'Model data'!$G$12))),1-(1+EXP(2*(I9+IF(Introduction!D$12="45q15",'Model data'!$C$24,'Model data'!$C$27))))/(1+EXP(2*(I9+'Model data'!$C$33))))</f>
        <v>0.26100253312696242</v>
      </c>
      <c r="K9" s="198">
        <f ca="1">T9</f>
        <v>1988.7893881622977</v>
      </c>
      <c r="L9" s="11"/>
      <c r="M9" s="26" t="s">
        <v>10</v>
      </c>
      <c r="N9" s="40">
        <f t="shared" si="8"/>
        <v>25</v>
      </c>
      <c r="O9" s="27">
        <f t="shared" si="1"/>
        <v>0.7384798294333893</v>
      </c>
      <c r="P9" s="27">
        <f t="shared" ca="1" si="2"/>
        <v>0.46117861931750576</v>
      </c>
      <c r="Q9" s="27">
        <f t="shared" ca="1" si="3"/>
        <v>0.15693612006675139</v>
      </c>
      <c r="R9" s="47">
        <f t="shared" si="7"/>
        <v>12.875</v>
      </c>
      <c r="S9" s="28">
        <f t="shared" ca="1" si="4"/>
        <v>10.854447454140576</v>
      </c>
      <c r="T9" s="38">
        <f t="shared" ca="1" si="5"/>
        <v>1988.7893881622977</v>
      </c>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ht="15" customHeight="1">
      <c r="A10" s="26" t="s">
        <v>11</v>
      </c>
      <c r="B10" s="184">
        <v>1189520</v>
      </c>
      <c r="C10" s="184">
        <v>839200</v>
      </c>
      <c r="D10" s="64">
        <f t="shared" si="6"/>
        <v>0.70549465330553496</v>
      </c>
      <c r="E10" s="129">
        <f t="shared" ca="1" si="0"/>
        <v>32.96050811424012</v>
      </c>
      <c r="F10" s="168">
        <v>30</v>
      </c>
      <c r="G10" s="48">
        <f ca="1">IF(AND(D10&gt;0,D10&lt;1,D11&gt;0,D11&lt;1),'Model data'!L34+'Model data'!M34*E10 +'Model data'!N34*D10+'Model data'!O34*D11,NA())</f>
        <v>0.67018006874771996</v>
      </c>
      <c r="H10" s="48">
        <f>IF(Introduction!$D$11="AIDS",'Model data'!G34,'Model data'!D34)</f>
        <v>0.40483478396612887</v>
      </c>
      <c r="I10" s="130">
        <f ca="1">-0.5*LN(1+(G10/H10-1/IF(Introduction!$D$11="AIDS",'Model data'!G$28,'Model data'!$D$28))/(1-G10))</f>
        <v>-0.27986900944470167</v>
      </c>
      <c r="J10" s="197">
        <f ca="1">IF(Introduction!$D$11="AIDS",1-(1+EXP(2*(I10+IF(Introduction!D$12="45q15",'Model data'!$G$3,'Model data'!$G$6))))/(1+EXP(2*(I10+'Model data'!$G$12))),1-(1+EXP(2*(I10+IF(Introduction!D$12="45q15",'Model data'!$C$24,'Model data'!$C$27))))/(1+EXP(2*(I10+'Model data'!$C$33))))</f>
        <v>0.27812786112020094</v>
      </c>
      <c r="K10" s="198">
        <f ca="1">IF(T10&lt;T9,T10,NA())</f>
        <v>1987.3824130285882</v>
      </c>
      <c r="L10" s="11"/>
      <c r="M10" s="26" t="s">
        <v>11</v>
      </c>
      <c r="N10" s="40">
        <f t="shared" si="8"/>
        <v>30</v>
      </c>
      <c r="O10" s="27">
        <f t="shared" si="1"/>
        <v>0.6545909263827977</v>
      </c>
      <c r="P10" s="27">
        <f t="shared" ca="1" si="2"/>
        <v>0.35655310850537092</v>
      </c>
      <c r="Q10" s="27">
        <f t="shared" ca="1" si="3"/>
        <v>0.20250909997723029</v>
      </c>
      <c r="R10" s="47">
        <f t="shared" si="7"/>
        <v>15.375</v>
      </c>
      <c r="S10" s="28">
        <f t="shared" ca="1" si="4"/>
        <v>12.261422587850085</v>
      </c>
      <c r="T10" s="38">
        <f t="shared" ca="1" si="5"/>
        <v>1987.3824130285882</v>
      </c>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ht="15" customHeight="1">
      <c r="A11" s="26" t="s">
        <v>12</v>
      </c>
      <c r="B11" s="183">
        <v>841840</v>
      </c>
      <c r="C11" s="183">
        <v>511300</v>
      </c>
      <c r="D11" s="64">
        <f t="shared" si="6"/>
        <v>0.60736006842155277</v>
      </c>
      <c r="E11" s="129">
        <f t="shared" ca="1" si="0"/>
        <v>32.96050811424012</v>
      </c>
      <c r="F11" s="168">
        <v>35</v>
      </c>
      <c r="G11" s="48">
        <f ca="1">IF(AND(D11&gt;0,D11&lt;1,D12&gt;0,D12&lt;1),'Model data'!L35+'Model data'!M35*E11 +'Model data'!N35*D11+'Model data'!O35*D12,NA())</f>
        <v>0.56664890311272709</v>
      </c>
      <c r="H11" s="48">
        <f>IF(Introduction!$D$11="AIDS",'Model data'!G35,'Model data'!D35)</f>
        <v>0.32304358355274804</v>
      </c>
      <c r="I11" s="130">
        <f ca="1">-0.5*LN(1+(G11/H11-1/IF(Introduction!$D$11="AIDS",'Model data'!G$28,'Model data'!$D$28))/(1-G11))</f>
        <v>-0.29351370678143501</v>
      </c>
      <c r="J11" s="197">
        <f ca="1">IF(Introduction!$D$11="AIDS",1-(1+EXP(2*(I11+IF(Introduction!D$12="45q15",'Model data'!$G$3,'Model data'!$G$6))))/(1+EXP(2*(I11+'Model data'!$G$12))),1-(1+EXP(2*(I11+IF(Introduction!D$12="45q15",'Model data'!$C$24,'Model data'!$C$27))))/(1+EXP(2*(I11+'Model data'!$C$33))))</f>
        <v>0.27352564189677353</v>
      </c>
      <c r="K11" s="198">
        <f ca="1">IF(T11&lt;T10,T11,NA())</f>
        <v>1986.548259169733</v>
      </c>
      <c r="L11" s="11"/>
      <c r="M11" s="26" t="s">
        <v>12</v>
      </c>
      <c r="N11" s="40">
        <f t="shared" si="8"/>
        <v>35</v>
      </c>
      <c r="O11" s="27">
        <f t="shared" si="1"/>
        <v>0.56187688014945658</v>
      </c>
      <c r="P11" s="27">
        <f t="shared" ca="1" si="2"/>
        <v>0.25192759769323586</v>
      </c>
      <c r="Q11" s="27">
        <f t="shared" ca="1" si="3"/>
        <v>0.2673803386458527</v>
      </c>
      <c r="R11" s="47">
        <f>(N11+0.75)/2</f>
        <v>17.875</v>
      </c>
      <c r="S11" s="28">
        <f t="shared" ca="1" si="4"/>
        <v>13.095576446705383</v>
      </c>
      <c r="T11" s="38">
        <f t="shared" ca="1" si="5"/>
        <v>1986.548259169733</v>
      </c>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ht="15" customHeight="1">
      <c r="A12" s="43" t="s">
        <v>13</v>
      </c>
      <c r="B12" s="184">
        <v>719200</v>
      </c>
      <c r="C12" s="184">
        <v>373840</v>
      </c>
      <c r="D12" s="64">
        <f t="shared" si="6"/>
        <v>0.51979977753058959</v>
      </c>
      <c r="E12" s="129">
        <f t="shared" ca="1" si="0"/>
        <v>32.96050811424012</v>
      </c>
      <c r="F12" s="168">
        <v>40</v>
      </c>
      <c r="G12" s="48">
        <f ca="1">IF(AND(D12&gt;0,D12&lt;1,D13&gt;0,D13&lt;1),'Model data'!L36+'Model data'!M36*E12 +'Model data'!N36*D12+'Model data'!O36*D13,NA())</f>
        <v>0.42203709176359872</v>
      </c>
      <c r="H12" s="48">
        <f>IF(Introduction!$D$11="AIDS",'Model data'!G36,'Model data'!D36)</f>
        <v>0.230854697852799</v>
      </c>
      <c r="I12" s="130">
        <f ca="1">-0.5*LN(1+(G12/H12-1/IF(Introduction!$D$11="AIDS",'Model data'!G$28,'Model data'!$D$28))/(1-G12))</f>
        <v>-0.27317580415089565</v>
      </c>
      <c r="J12" s="197">
        <f ca="1">IF(Introduction!$D$11="AIDS",1-(1+EXP(2*(I12+IF(Introduction!D$12="45q15",'Model data'!$G$3,'Model data'!$G$6))))/(1+EXP(2*(I12+'Model data'!$G$12))),1-(1+EXP(2*(I12+IF(Introduction!D$12="45q15",'Model data'!$C$24,'Model data'!$C$27))))/(1+EXP(2*(I12+'Model data'!$C$33))))</f>
        <v>0.28039546719581965</v>
      </c>
      <c r="K12" s="199" t="e">
        <f ca="1">IF(T12&lt;T11,T12,NA())</f>
        <v>#N/A</v>
      </c>
      <c r="L12" s="11"/>
      <c r="M12" s="43" t="s">
        <v>13</v>
      </c>
      <c r="N12" s="152">
        <f t="shared" si="8"/>
        <v>40</v>
      </c>
      <c r="O12" s="50">
        <f t="shared" si="1"/>
        <v>0.45328776609184535</v>
      </c>
      <c r="P12" s="50">
        <f t="shared" ca="1" si="2"/>
        <v>0.14730208688110102</v>
      </c>
      <c r="Q12" s="50">
        <f t="shared" ca="1" si="3"/>
        <v>0.3746805593703762</v>
      </c>
      <c r="R12" s="47">
        <f t="shared" si="7"/>
        <v>20.375</v>
      </c>
      <c r="S12" s="47">
        <f t="shared" ca="1" si="4"/>
        <v>12.740883602828585</v>
      </c>
      <c r="T12" s="127">
        <f t="shared" ca="1" si="5"/>
        <v>1986.9029520136098</v>
      </c>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ht="15" customHeight="1">
      <c r="A13" s="44" t="s">
        <v>14</v>
      </c>
      <c r="B13" s="185">
        <v>514260</v>
      </c>
      <c r="C13" s="185">
        <v>203280</v>
      </c>
      <c r="D13" s="65">
        <f t="shared" si="6"/>
        <v>0.39528643098821609</v>
      </c>
      <c r="E13" s="65"/>
      <c r="F13" s="65"/>
      <c r="G13" s="30"/>
      <c r="H13" s="30"/>
      <c r="I13" s="30"/>
      <c r="J13" s="30"/>
      <c r="K13" s="30"/>
      <c r="L13" s="11"/>
      <c r="M13" s="63"/>
      <c r="N13" s="153"/>
      <c r="O13" s="154"/>
      <c r="P13" s="63"/>
      <c r="Q13" s="153"/>
      <c r="R13" s="155"/>
      <c r="S13" s="153"/>
      <c r="T13" s="156"/>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ht="15" customHeight="1">
      <c r="G14" s="13"/>
      <c r="H14" s="14"/>
      <c r="I14" s="67"/>
      <c r="J14" s="13"/>
      <c r="K14" s="66"/>
      <c r="L14" s="3"/>
      <c r="R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ht="15" customHeight="1">
      <c r="A15" s="141"/>
      <c r="B15" s="142"/>
      <c r="C15" s="213" t="s">
        <v>118</v>
      </c>
      <c r="D15" s="213" t="s">
        <v>122</v>
      </c>
      <c r="E15" s="213" t="s">
        <v>115</v>
      </c>
      <c r="F15" s="22"/>
      <c r="G15" s="142"/>
      <c r="H15" s="142"/>
      <c r="I15" s="142"/>
      <c r="J15" s="22" t="s">
        <v>113</v>
      </c>
      <c r="K15" s="144"/>
      <c r="L15" s="3"/>
      <c r="M15" s="22" t="s">
        <v>0</v>
      </c>
      <c r="N15" s="22" t="s">
        <v>29</v>
      </c>
      <c r="O15" s="22" t="s">
        <v>3</v>
      </c>
      <c r="P15" s="22" t="s">
        <v>30</v>
      </c>
      <c r="Q15" s="22" t="s">
        <v>56</v>
      </c>
      <c r="R15" s="22" t="s">
        <v>16</v>
      </c>
      <c r="S15" s="22" t="s">
        <v>31</v>
      </c>
      <c r="T15" s="62"/>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ht="15" customHeight="1">
      <c r="A16" s="32" t="s">
        <v>0</v>
      </c>
      <c r="B16" s="32" t="s">
        <v>3</v>
      </c>
      <c r="C16" s="218"/>
      <c r="D16" s="227"/>
      <c r="E16" s="214"/>
      <c r="F16" s="32" t="s">
        <v>0</v>
      </c>
      <c r="G16" s="139" t="s">
        <v>66</v>
      </c>
      <c r="H16" s="33" t="s">
        <v>30</v>
      </c>
      <c r="I16" s="32" t="s">
        <v>4</v>
      </c>
      <c r="J16" s="32" t="s">
        <v>114</v>
      </c>
      <c r="K16" s="140"/>
      <c r="L16" s="3"/>
      <c r="M16" s="32" t="s">
        <v>51</v>
      </c>
      <c r="N16" s="32" t="s">
        <v>50</v>
      </c>
      <c r="O16" s="32" t="s">
        <v>53</v>
      </c>
      <c r="P16" s="32" t="s">
        <v>54</v>
      </c>
      <c r="Q16" s="32" t="s">
        <v>55</v>
      </c>
      <c r="R16" s="32" t="s">
        <v>62</v>
      </c>
      <c r="S16" s="32" t="s">
        <v>57</v>
      </c>
      <c r="T16" s="32" t="s">
        <v>6</v>
      </c>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ht="15" customHeight="1">
      <c r="A17" s="160" t="s">
        <v>51</v>
      </c>
      <c r="B17" s="32" t="s">
        <v>35</v>
      </c>
      <c r="C17" s="219"/>
      <c r="D17" s="215"/>
      <c r="E17" s="215"/>
      <c r="F17" s="34" t="s">
        <v>17</v>
      </c>
      <c r="G17" s="24" t="s">
        <v>67</v>
      </c>
      <c r="H17" s="160" t="s">
        <v>68</v>
      </c>
      <c r="I17" s="42" t="s">
        <v>58</v>
      </c>
      <c r="J17" s="88" t="str">
        <f>Introduction!D12</f>
        <v>30q30</v>
      </c>
      <c r="K17" s="25" t="s">
        <v>6</v>
      </c>
      <c r="L17" s="3"/>
      <c r="M17" s="63"/>
      <c r="N17" s="34" t="s">
        <v>41</v>
      </c>
      <c r="O17" s="161" t="s">
        <v>35</v>
      </c>
      <c r="P17" s="34" t="s">
        <v>46</v>
      </c>
      <c r="Q17" s="161" t="s">
        <v>36</v>
      </c>
      <c r="R17" s="161" t="s">
        <v>65</v>
      </c>
      <c r="S17" s="34" t="s">
        <v>48</v>
      </c>
      <c r="T17" s="6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ht="15" customHeight="1">
      <c r="A18" s="26" t="s">
        <v>59</v>
      </c>
      <c r="B18" s="49">
        <f>D6</f>
        <v>0.91944552457620887</v>
      </c>
      <c r="C18" s="186">
        <v>0.05</v>
      </c>
      <c r="D18" s="50">
        <f>B18*(1-(1-(1-Introduction!$D$14)*Introduction!$D$15)*Introduction!$D$16*0.5*C18)</f>
        <v>0.91369899004760757</v>
      </c>
      <c r="E18" s="129">
        <f t="shared" ref="E18:E24" ca="1" si="9">MBAR_m</f>
        <v>32.96050811424012</v>
      </c>
      <c r="F18" s="168">
        <v>15</v>
      </c>
      <c r="G18" s="48">
        <f ca="1">IF(AND(D18&gt;0,D18&lt;1,D19&gt;0,D19&lt;1),'Model data'!L30+'Model data'!M30*E18 +'Model data'!N30*D18+'Model data'!O30*D19,NA())</f>
        <v>0.86076535958798173</v>
      </c>
      <c r="H18" s="48">
        <f>'Model data'!G31</f>
        <v>0.56138919450631619</v>
      </c>
      <c r="I18" s="130">
        <f ca="1">-0.5*LN(1+(G18/H18-1/'Model data'!G$28)/(1-G18))</f>
        <v>-0.32085283631903277</v>
      </c>
      <c r="J18" s="197">
        <f ca="1">1-(1+EXP(2*(I18+IF(Introduction!D$12="45q15",'Model data'!$G$3,'Model data'!$G$6))))/(1+EXP(2*(I18+'Model data'!$G$12)))</f>
        <v>0.26439225237031239</v>
      </c>
      <c r="K18" s="198">
        <f ca="1">T18</f>
        <v>1994.5318352990034</v>
      </c>
      <c r="L18" s="3"/>
      <c r="M18" s="26" t="s">
        <v>7</v>
      </c>
      <c r="N18" s="40">
        <v>10</v>
      </c>
      <c r="O18" s="27">
        <f t="shared" ref="O18:O24" si="10">SQRT(D18*D19)</f>
        <v>0.89760015807442584</v>
      </c>
      <c r="P18" s="27">
        <f t="shared" ref="P18:P24" ca="1" si="11">(1-(MBAR_m+N18)/80)/(1-(MBAR_m-0.75)/80)</f>
        <v>0.77505515175391027</v>
      </c>
      <c r="Q18" s="27">
        <f t="shared" ref="Q18:Q24" ca="1" si="12">LN(O18/P18)/3</f>
        <v>4.8930173500504749E-2</v>
      </c>
      <c r="R18" s="46">
        <f>(N18+0.75)/2</f>
        <v>5.375</v>
      </c>
      <c r="S18" s="28">
        <f t="shared" ref="S18:S24" ca="1" si="13">R18*(1-Q18)</f>
        <v>5.112000317434787</v>
      </c>
      <c r="T18" s="38">
        <f t="shared" ref="T18:T24" ca="1" si="14">$T$1-S18</f>
        <v>1994.5318352990034</v>
      </c>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ht="15" customHeight="1">
      <c r="A19" s="26" t="s">
        <v>8</v>
      </c>
      <c r="B19" s="50">
        <f t="shared" ref="B19:B25" si="15">D7</f>
        <v>0.88344143061397873</v>
      </c>
      <c r="C19" s="187">
        <v>0.01</v>
      </c>
      <c r="D19" s="50">
        <f>B19*(1-(1-(1-Introduction!$D$14)*Introduction!$D$15)*Introduction!$D$16*0.75*C19)</f>
        <v>0.88178497793157751</v>
      </c>
      <c r="E19" s="129">
        <f t="shared" ca="1" si="9"/>
        <v>32.96050811424012</v>
      </c>
      <c r="F19" s="168">
        <v>15</v>
      </c>
      <c r="G19" s="48">
        <f ca="1">IF(AND(D19&gt;0,D19&lt;1,D20&gt;0,D20&lt;1),'Model data'!L31+'Model data'!M31*E19 +'Model data'!N31*D19+'Model data'!O31*D20,NA())</f>
        <v>0.86957743780848729</v>
      </c>
      <c r="H19" s="48">
        <f>'Model data'!G31</f>
        <v>0.56138919450631619</v>
      </c>
      <c r="I19" s="130">
        <f ca="1">-0.5*LN(1+(G19/H19-1/'Model data'!G$28)/(1-G19))</f>
        <v>-0.36639128708480412</v>
      </c>
      <c r="J19" s="197">
        <f ca="1">1-(1+EXP(2*(I19+IF(Introduction!D$12="45q15",'Model data'!$G$3,'Model data'!$G$6))))/(1+EXP(2*(I19+'Model data'!$G$12)))</f>
        <v>0.24946488406749368</v>
      </c>
      <c r="K19" s="198">
        <f ca="1">T19</f>
        <v>1992.4195033904309</v>
      </c>
      <c r="L19" s="3"/>
      <c r="M19" s="26" t="s">
        <v>8</v>
      </c>
      <c r="N19" s="40">
        <f>N18+5</f>
        <v>15</v>
      </c>
      <c r="O19" s="27">
        <f t="shared" si="10"/>
        <v>0.85901999580538146</v>
      </c>
      <c r="P19" s="27">
        <f t="shared" ca="1" si="11"/>
        <v>0.67042964094177537</v>
      </c>
      <c r="Q19" s="27">
        <f t="shared" ca="1" si="12"/>
        <v>8.2624479237164858E-2</v>
      </c>
      <c r="R19" s="47">
        <f t="shared" ref="R19:R22" si="16">(N19+0.75)/2</f>
        <v>7.875</v>
      </c>
      <c r="S19" s="28">
        <f t="shared" ca="1" si="13"/>
        <v>7.2243322260073271</v>
      </c>
      <c r="T19" s="38">
        <f t="shared" ca="1" si="14"/>
        <v>1992.4195033904309</v>
      </c>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ht="15" customHeight="1">
      <c r="A20" s="26" t="s">
        <v>9</v>
      </c>
      <c r="B20" s="50">
        <f t="shared" si="15"/>
        <v>0.83684273565696488</v>
      </c>
      <c r="C20" s="187">
        <v>0</v>
      </c>
      <c r="D20" s="50">
        <f>B20*(1-(1-(1-Introduction!$D$14)*Introduction!$D$15)*Introduction!$D$16*C20)</f>
        <v>0.83684273565696488</v>
      </c>
      <c r="E20" s="129">
        <f t="shared" ca="1" si="9"/>
        <v>32.96050811424012</v>
      </c>
      <c r="F20" s="168">
        <v>20</v>
      </c>
      <c r="G20" s="48">
        <f ca="1">IF(AND(D20&gt;0,D20&lt;1,D21&gt;0,D21&lt;1),'Model data'!L32+'Model data'!M32*E20 +'Model data'!N32*D20+'Model data'!O32*D21,NA())</f>
        <v>0.82821653096456149</v>
      </c>
      <c r="H20" s="48">
        <f>'Model data'!G32</f>
        <v>0.51886167614812073</v>
      </c>
      <c r="I20" s="130">
        <f ca="1">-0.5*LN(1+(G20/H20-1/'Model data'!G$28)/(1-G20))</f>
        <v>-0.36992962772992982</v>
      </c>
      <c r="J20" s="197">
        <f ca="1">1-(1+EXP(2*(I20+IF(Introduction!D$12="45q15",'Model data'!$G$3,'Model data'!$G$6))))/(1+EXP(2*(I20+'Model data'!$G$12)))</f>
        <v>0.248321125987086</v>
      </c>
      <c r="K20" s="198">
        <f ca="1">T20</f>
        <v>1990.485180956078</v>
      </c>
      <c r="L20" s="3"/>
      <c r="M20" s="26" t="s">
        <v>9</v>
      </c>
      <c r="N20" s="40">
        <f t="shared" ref="N20:N24" si="17">N19+5</f>
        <v>20</v>
      </c>
      <c r="O20" s="27">
        <f t="shared" si="10"/>
        <v>0.80429190848958321</v>
      </c>
      <c r="P20" s="27">
        <f t="shared" ca="1" si="11"/>
        <v>0.56580413012964059</v>
      </c>
      <c r="Q20" s="27">
        <f t="shared" ca="1" si="12"/>
        <v>0.11723810502551679</v>
      </c>
      <c r="R20" s="47">
        <f t="shared" si="16"/>
        <v>10.375</v>
      </c>
      <c r="S20" s="28">
        <f t="shared" ca="1" si="13"/>
        <v>9.1586546603602628</v>
      </c>
      <c r="T20" s="38">
        <f t="shared" ca="1" si="14"/>
        <v>1990.485180956078</v>
      </c>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ht="15" customHeight="1">
      <c r="A21" s="26" t="s">
        <v>10</v>
      </c>
      <c r="B21" s="50">
        <f t="shared" si="15"/>
        <v>0.77300721688642904</v>
      </c>
      <c r="C21" s="187">
        <v>0</v>
      </c>
      <c r="D21" s="50">
        <f>B21*(1-(1-(1-Introduction!$D$14)*Introduction!$D$15)*Introduction!$D$16*C21)</f>
        <v>0.77300721688642904</v>
      </c>
      <c r="E21" s="129">
        <f t="shared" ca="1" si="9"/>
        <v>32.96050811424012</v>
      </c>
      <c r="F21" s="168">
        <v>25</v>
      </c>
      <c r="G21" s="48">
        <f ca="1">IF(AND(D21&gt;0,D21&lt;1,D22&gt;0,D22&lt;1),'Model data'!L33+'Model data'!M33*E21 +'Model data'!N33*D21+'Model data'!O33*D22,NA())</f>
        <v>0.76535975932021116</v>
      </c>
      <c r="H21" s="48">
        <f>'Model data'!G33</f>
        <v>0.47002433974235502</v>
      </c>
      <c r="I21" s="130">
        <f ca="1">-0.5*LN(1+(G21/H21-1/'Model data'!G$28)/(1-G21))</f>
        <v>-0.33109507472277394</v>
      </c>
      <c r="J21" s="197">
        <f ca="1">1-(1+EXP(2*(I21+IF(Introduction!D$12="45q15",'Model data'!$G$3,'Model data'!$G$6))))/(1+EXP(2*(I21+'Model data'!$G$12)))</f>
        <v>0.26100253312696242</v>
      </c>
      <c r="K21" s="198">
        <f ca="1">T21</f>
        <v>1988.7893881622977</v>
      </c>
      <c r="L21" s="3"/>
      <c r="M21" s="26" t="s">
        <v>10</v>
      </c>
      <c r="N21" s="40">
        <f t="shared" si="17"/>
        <v>25</v>
      </c>
      <c r="O21" s="27">
        <f t="shared" si="10"/>
        <v>0.7384798294333893</v>
      </c>
      <c r="P21" s="27">
        <f t="shared" ca="1" si="11"/>
        <v>0.46117861931750576</v>
      </c>
      <c r="Q21" s="27">
        <f t="shared" ca="1" si="12"/>
        <v>0.15693612006675139</v>
      </c>
      <c r="R21" s="47">
        <f t="shared" si="16"/>
        <v>12.875</v>
      </c>
      <c r="S21" s="28">
        <f t="shared" ca="1" si="13"/>
        <v>10.854447454140576</v>
      </c>
      <c r="T21" s="38">
        <f t="shared" ca="1" si="14"/>
        <v>1988.7893881622977</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ht="15" customHeight="1">
      <c r="A22" s="26" t="s">
        <v>11</v>
      </c>
      <c r="B22" s="50">
        <f t="shared" si="15"/>
        <v>0.70549465330553496</v>
      </c>
      <c r="C22" s="187">
        <v>0</v>
      </c>
      <c r="D22" s="50">
        <f>B22*(1-(1-(1-Introduction!$D$14)*Introduction!$D$15)*Introduction!$D$16*C22)</f>
        <v>0.70549465330553496</v>
      </c>
      <c r="E22" s="129">
        <f t="shared" ca="1" si="9"/>
        <v>32.96050811424012</v>
      </c>
      <c r="F22" s="168">
        <v>30</v>
      </c>
      <c r="G22" s="48">
        <f ca="1">IF(AND(D22&gt;0,D22&lt;1,D23&gt;0,D23&lt;1),'Model data'!L34+'Model data'!M34*E22 +'Model data'!N34*D22+'Model data'!O34*D23,NA())</f>
        <v>0.67018006874771996</v>
      </c>
      <c r="H22" s="48">
        <f>'Model data'!G34</f>
        <v>0.40483478396612887</v>
      </c>
      <c r="I22" s="130">
        <f ca="1">-0.5*LN(1+(G22/H22-1/'Model data'!G$28)/(1-G22))</f>
        <v>-0.27986900944470167</v>
      </c>
      <c r="J22" s="197">
        <f ca="1">1-(1+EXP(2*(I22+IF(Introduction!D$12="45q15",'Model data'!$G$3,'Model data'!$G$6))))/(1+EXP(2*(I22+'Model data'!$G$12)))</f>
        <v>0.27812786112020094</v>
      </c>
      <c r="K22" s="198">
        <f ca="1">IF(T22&lt;T21,T22,NA())</f>
        <v>1987.3824130285882</v>
      </c>
      <c r="L22" s="3"/>
      <c r="M22" s="26" t="s">
        <v>11</v>
      </c>
      <c r="N22" s="40">
        <f t="shared" si="17"/>
        <v>30</v>
      </c>
      <c r="O22" s="27">
        <f t="shared" si="10"/>
        <v>0.6545909263827977</v>
      </c>
      <c r="P22" s="27">
        <f t="shared" ca="1" si="11"/>
        <v>0.35655310850537092</v>
      </c>
      <c r="Q22" s="27">
        <f t="shared" ca="1" si="12"/>
        <v>0.20250909997723029</v>
      </c>
      <c r="R22" s="47">
        <f t="shared" si="16"/>
        <v>15.375</v>
      </c>
      <c r="S22" s="28">
        <f t="shared" ca="1" si="13"/>
        <v>12.261422587850085</v>
      </c>
      <c r="T22" s="38">
        <f t="shared" ca="1" si="14"/>
        <v>1987.3824130285882</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ht="15" customHeight="1">
      <c r="A23" s="26" t="s">
        <v>12</v>
      </c>
      <c r="B23" s="50">
        <f t="shared" si="15"/>
        <v>0.60736006842155277</v>
      </c>
      <c r="C23" s="187">
        <v>0</v>
      </c>
      <c r="D23" s="50">
        <f>B23*(1-(1-(1-Introduction!$D$14)*Introduction!$D$15)*Introduction!$D$16*C23)</f>
        <v>0.60736006842155277</v>
      </c>
      <c r="E23" s="129">
        <f t="shared" ca="1" si="9"/>
        <v>32.96050811424012</v>
      </c>
      <c r="F23" s="168">
        <v>35</v>
      </c>
      <c r="G23" s="48">
        <f ca="1">IF(AND(D23&gt;0,D23&lt;1,D24&gt;0,D24&lt;1),'Model data'!L35+'Model data'!M35*E23 +'Model data'!N35*D23+'Model data'!O35*D24,NA())</f>
        <v>0.56664890311272709</v>
      </c>
      <c r="H23" s="48">
        <f>'Model data'!G35</f>
        <v>0.32304358355274804</v>
      </c>
      <c r="I23" s="130">
        <f ca="1">-0.5*LN(1+(G23/H23-1/'Model data'!G$28)/(1-G23))</f>
        <v>-0.29351370678143501</v>
      </c>
      <c r="J23" s="197">
        <f ca="1">1-(1+EXP(2*(I23+IF(Introduction!D$12="45q15",'Model data'!$G$3,'Model data'!$G$6))))/(1+EXP(2*(I23+'Model data'!$G$12)))</f>
        <v>0.27352564189677353</v>
      </c>
      <c r="K23" s="198">
        <f ca="1">IF(T23&lt;T22,T23,NA())</f>
        <v>1986.548259169733</v>
      </c>
      <c r="L23" s="3"/>
      <c r="M23" s="26" t="s">
        <v>12</v>
      </c>
      <c r="N23" s="40">
        <f t="shared" si="17"/>
        <v>35</v>
      </c>
      <c r="O23" s="27">
        <f t="shared" si="10"/>
        <v>0.56187688014945658</v>
      </c>
      <c r="P23" s="27">
        <f t="shared" ca="1" si="11"/>
        <v>0.25192759769323586</v>
      </c>
      <c r="Q23" s="27">
        <f t="shared" ca="1" si="12"/>
        <v>0.2673803386458527</v>
      </c>
      <c r="R23" s="47">
        <f>(N23+0.75)/2</f>
        <v>17.875</v>
      </c>
      <c r="S23" s="28">
        <f t="shared" ca="1" si="13"/>
        <v>13.095576446705383</v>
      </c>
      <c r="T23" s="38">
        <f t="shared" ca="1" si="14"/>
        <v>1986.548259169733</v>
      </c>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ht="15" customHeight="1">
      <c r="A24" s="26" t="s">
        <v>13</v>
      </c>
      <c r="B24" s="50">
        <f t="shared" si="15"/>
        <v>0.51979977753058959</v>
      </c>
      <c r="C24" s="187">
        <v>0</v>
      </c>
      <c r="D24" s="50">
        <f>B24*(1-(1-(1-Introduction!$D$14)*Introduction!$D$15)*Introduction!$D$16*C24)</f>
        <v>0.51979977753058959</v>
      </c>
      <c r="E24" s="129">
        <f t="shared" ca="1" si="9"/>
        <v>32.96050811424012</v>
      </c>
      <c r="F24" s="168">
        <v>40</v>
      </c>
      <c r="G24" s="48">
        <f ca="1">IF(AND(D24&gt;0,D24&lt;1,D25&gt;0,D25&lt;1),'Model data'!L36+'Model data'!M36*E24 +'Model data'!N36*D24+'Model data'!O36*D25,NA())</f>
        <v>0.42203709176359872</v>
      </c>
      <c r="H24" s="48">
        <f>'Model data'!G36</f>
        <v>0.230854697852799</v>
      </c>
      <c r="I24" s="130">
        <f ca="1">-0.5*LN(1+(G24/H24-1/'Model data'!G$28)/(1-G24))</f>
        <v>-0.27317580415089565</v>
      </c>
      <c r="J24" s="197">
        <f ca="1">1-(1+EXP(2*(I24+IF(Introduction!D$12="45q15",'Model data'!$G$3,'Model data'!$G$6))))/(1+EXP(2*(I24+'Model data'!$G$12)))</f>
        <v>0.28039546719581965</v>
      </c>
      <c r="K24" s="199" t="e">
        <f ca="1">IF(T24&lt;T23,T24,NA())</f>
        <v>#N/A</v>
      </c>
      <c r="L24" s="3"/>
      <c r="M24" s="43" t="s">
        <v>13</v>
      </c>
      <c r="N24" s="152">
        <f t="shared" si="17"/>
        <v>40</v>
      </c>
      <c r="O24" s="50">
        <f t="shared" si="10"/>
        <v>0.45328776609184535</v>
      </c>
      <c r="P24" s="50">
        <f t="shared" ca="1" si="11"/>
        <v>0.14730208688110102</v>
      </c>
      <c r="Q24" s="50">
        <f t="shared" ca="1" si="12"/>
        <v>0.3746805593703762</v>
      </c>
      <c r="R24" s="47">
        <f t="shared" ref="R24" si="18">(N24+0.75)/2</f>
        <v>20.375</v>
      </c>
      <c r="S24" s="47">
        <f t="shared" ca="1" si="13"/>
        <v>12.740883602828585</v>
      </c>
      <c r="T24" s="127">
        <f t="shared" ca="1" si="14"/>
        <v>1986.9029520136098</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ht="15" customHeight="1">
      <c r="A25" s="44" t="s">
        <v>14</v>
      </c>
      <c r="B25" s="30">
        <f t="shared" si="15"/>
        <v>0.39528643098821609</v>
      </c>
      <c r="C25" s="188">
        <v>0</v>
      </c>
      <c r="D25" s="30">
        <f>B25*(1-(1-(1-Introduction!$D$14)*Introduction!$D$15)*Introduction!$D$16*C25)</f>
        <v>0.39528643098821609</v>
      </c>
      <c r="E25" s="65"/>
      <c r="F25" s="65"/>
      <c r="G25" s="30"/>
      <c r="H25" s="30"/>
      <c r="I25" s="30"/>
      <c r="J25" s="30"/>
      <c r="K25" s="162"/>
      <c r="L25" s="3"/>
      <c r="M25" s="63"/>
      <c r="N25" s="153"/>
      <c r="O25" s="154"/>
      <c r="P25" s="63"/>
      <c r="Q25" s="153"/>
      <c r="R25" s="155"/>
      <c r="S25" s="153"/>
      <c r="T25" s="156"/>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ht="15" customHeight="1">
      <c r="G26" s="13"/>
      <c r="H26" s="14"/>
      <c r="I26" s="67"/>
      <c r="J26" s="13"/>
      <c r="K26" s="66"/>
      <c r="L26" s="3"/>
      <c r="R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ht="15" customHeight="1">
      <c r="G27" s="13"/>
      <c r="H27" s="14"/>
      <c r="I27" s="67"/>
      <c r="J27" s="13"/>
      <c r="K27" s="66"/>
      <c r="L27" s="3"/>
      <c r="R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ht="15" customHeight="1">
      <c r="A28" s="15" t="s">
        <v>34</v>
      </c>
      <c r="B28" s="3"/>
      <c r="C28" s="3"/>
      <c r="D28" s="3"/>
      <c r="E28" s="13"/>
      <c r="F28" s="13"/>
      <c r="G28" s="3"/>
      <c r="H28" s="3"/>
      <c r="I28" s="3"/>
      <c r="J28" s="3"/>
      <c r="K28" s="3"/>
      <c r="L28" s="3"/>
      <c r="M28" s="3"/>
      <c r="N28" s="3"/>
      <c r="O28" s="3"/>
      <c r="P28" s="3"/>
      <c r="Q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60" ht="15.75" customHeight="1">
      <c r="B29" s="45" t="s">
        <v>77</v>
      </c>
      <c r="C29" s="55">
        <f>MBAR</f>
        <v>26.750483870967741</v>
      </c>
      <c r="E29" s="13"/>
      <c r="F29" s="13"/>
      <c r="G29" s="3"/>
      <c r="H29" s="3"/>
      <c r="I29" s="3"/>
      <c r="J29" s="3"/>
      <c r="K29" s="3"/>
      <c r="L29" s="3"/>
      <c r="M29" s="3"/>
      <c r="N29" s="3"/>
      <c r="O29" s="3"/>
      <c r="P29" s="3"/>
      <c r="Q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60" ht="15.75" customHeight="1" thickBot="1">
      <c r="A30" s="3"/>
      <c r="B30" s="70" t="s">
        <v>37</v>
      </c>
      <c r="C30" s="55">
        <f ca="1">E52-G52</f>
        <v>6.2100242432723789</v>
      </c>
      <c r="D30" s="71"/>
      <c r="E30" s="13"/>
      <c r="F30" s="13"/>
      <c r="G30" s="3"/>
      <c r="H30" s="3"/>
      <c r="I30" s="3"/>
      <c r="J30" s="3"/>
      <c r="K30" s="3"/>
      <c r="L30" s="3"/>
      <c r="M30" s="3"/>
      <c r="N30" s="3"/>
      <c r="O30" s="3"/>
      <c r="P30" s="3"/>
      <c r="Q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60" ht="15.75" customHeight="1" thickBot="1">
      <c r="B31" s="200" t="s">
        <v>148</v>
      </c>
      <c r="C31" s="196">
        <f ca="1">C29+C30</f>
        <v>32.96050811424012</v>
      </c>
      <c r="E31" s="72"/>
      <c r="F31" s="72"/>
      <c r="G31" s="3"/>
      <c r="H31" s="3"/>
      <c r="I31" s="3"/>
      <c r="J31" s="3"/>
      <c r="K31" s="3"/>
      <c r="L31" s="3"/>
      <c r="M31" s="3"/>
      <c r="N31" s="3"/>
      <c r="O31" s="3"/>
      <c r="P31" s="3"/>
      <c r="Q31" s="3"/>
      <c r="R31" s="2"/>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60" ht="15" customHeight="1">
      <c r="E32" s="3"/>
      <c r="F32" s="3"/>
      <c r="G32" s="3"/>
      <c r="H32" s="3"/>
      <c r="I32" s="3"/>
      <c r="J32" s="3"/>
      <c r="K32" s="3"/>
      <c r="L32" s="3"/>
      <c r="M32" s="3"/>
      <c r="N32" s="3"/>
      <c r="O32" s="3"/>
      <c r="P32" s="3"/>
      <c r="Q32" s="3"/>
      <c r="R32" s="2"/>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ht="15" customHeight="1">
      <c r="A33" s="15" t="s">
        <v>75</v>
      </c>
      <c r="G33" s="3"/>
      <c r="H33" s="3"/>
      <c r="I33" s="3"/>
      <c r="J33" s="3"/>
      <c r="K33" s="3"/>
      <c r="L33" s="3"/>
      <c r="M33" s="3"/>
      <c r="N33" s="3"/>
      <c r="O33" s="3"/>
      <c r="P33" s="3"/>
      <c r="Q33" s="3"/>
      <c r="R33" s="7"/>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ht="15" customHeight="1">
      <c r="A34" s="54" t="s">
        <v>78</v>
      </c>
      <c r="G34" s="3"/>
      <c r="H34" s="3"/>
      <c r="I34" s="3"/>
      <c r="J34" s="3"/>
      <c r="K34" s="3"/>
      <c r="L34" s="3"/>
      <c r="M34" s="3"/>
      <c r="N34" s="3"/>
      <c r="O34" s="3"/>
      <c r="P34" s="3"/>
      <c r="Q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ht="15" customHeight="1">
      <c r="A35" s="131"/>
      <c r="B35" s="131"/>
      <c r="C35" s="225" t="s">
        <v>71</v>
      </c>
      <c r="D35" s="225" t="s">
        <v>72</v>
      </c>
      <c r="E35" s="221" t="s">
        <v>73</v>
      </c>
      <c r="F35" s="164"/>
      <c r="G35" s="221" t="s">
        <v>74</v>
      </c>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ht="15" customHeight="1">
      <c r="A36" s="223" t="s">
        <v>110</v>
      </c>
      <c r="B36" s="223"/>
      <c r="C36" s="226"/>
      <c r="D36" s="215"/>
      <c r="E36" s="222"/>
      <c r="F36" s="165"/>
      <c r="G36" s="22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ht="15" customHeight="1">
      <c r="A37" s="132">
        <v>10</v>
      </c>
      <c r="B37" s="133">
        <v>14</v>
      </c>
      <c r="C37" s="183">
        <v>2800</v>
      </c>
      <c r="D37" s="183">
        <v>6680</v>
      </c>
      <c r="E37" s="134">
        <f>SUM(C$37:C37)/C$52</f>
        <v>9.5547487101089242E-4</v>
      </c>
      <c r="F37" s="134"/>
      <c r="G37" s="134">
        <f>SUM(D$37:D37)/D$52</f>
        <v>1.8698076449380836E-3</v>
      </c>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ht="15" customHeight="1">
      <c r="A38" s="132">
        <v>15</v>
      </c>
      <c r="B38" s="133">
        <v>19</v>
      </c>
      <c r="C38" s="183">
        <v>18040</v>
      </c>
      <c r="D38" s="183">
        <v>212060</v>
      </c>
      <c r="E38" s="134">
        <f>SUM(C$37:C38)/C$52</f>
        <v>7.1114629685239275E-3</v>
      </c>
      <c r="F38" s="134"/>
      <c r="G38" s="134">
        <f>SUM(D$37:D38)/D$52</f>
        <v>6.1227803031999463E-2</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ht="15" customHeight="1">
      <c r="A39" s="132">
        <v>20</v>
      </c>
      <c r="B39" s="133">
        <v>24</v>
      </c>
      <c r="C39" s="183">
        <v>173840</v>
      </c>
      <c r="D39" s="183">
        <v>623040</v>
      </c>
      <c r="E39" s="134">
        <f>SUM(C$37:C39)/C$52</f>
        <v>6.6432802817285905E-2</v>
      </c>
      <c r="F39" s="134"/>
      <c r="G39" s="134">
        <f>SUM(D$37:D39)/D$52</f>
        <v>0.23562375439460778</v>
      </c>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spans="1:57" ht="15" customHeight="1">
      <c r="A40" s="132">
        <v>25</v>
      </c>
      <c r="B40" s="133">
        <v>29</v>
      </c>
      <c r="C40" s="183">
        <v>464720</v>
      </c>
      <c r="D40" s="183">
        <v>670760</v>
      </c>
      <c r="E40" s="134">
        <f>SUM(C$37:C40)/C$52</f>
        <v>0.22501433212306515</v>
      </c>
      <c r="F40" s="134"/>
      <c r="G40" s="134">
        <f>SUM(D$37:D40)/D$52</f>
        <v>0.42337707414291154</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spans="1:57" ht="15" customHeight="1">
      <c r="A41" s="132">
        <v>30</v>
      </c>
      <c r="B41" s="133">
        <v>34</v>
      </c>
      <c r="C41" s="183">
        <v>479460</v>
      </c>
      <c r="D41" s="183">
        <v>487180</v>
      </c>
      <c r="E41" s="134">
        <f>SUM(C$37:C41)/C$52</f>
        <v>0.38862575414266604</v>
      </c>
      <c r="F41" s="134"/>
      <c r="G41" s="134">
        <f>SUM(D$37:D41)/D$52</f>
        <v>0.55974427301430907</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57" ht="15" customHeight="1">
      <c r="A42" s="132">
        <v>35</v>
      </c>
      <c r="B42" s="133">
        <v>39</v>
      </c>
      <c r="C42" s="183">
        <v>406000</v>
      </c>
      <c r="D42" s="183">
        <v>387000</v>
      </c>
      <c r="E42" s="134">
        <f>SUM(C$37:C42)/C$52</f>
        <v>0.52716961043924548</v>
      </c>
      <c r="F42" s="134"/>
      <c r="G42" s="134">
        <f>SUM(D$37:D42)/D$52</f>
        <v>0.6680699554381172</v>
      </c>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57" ht="15" customHeight="1">
      <c r="A43" s="132">
        <v>40</v>
      </c>
      <c r="B43" s="133">
        <v>44</v>
      </c>
      <c r="C43" s="183">
        <v>330140</v>
      </c>
      <c r="D43" s="183">
        <v>305500</v>
      </c>
      <c r="E43" s="134">
        <f>SUM(C$37:C43)/C$52</f>
        <v>0.63982692255193685</v>
      </c>
      <c r="F43" s="134"/>
      <c r="G43" s="134">
        <f>SUM(D$37:D43)/D$52</f>
        <v>0.75358286494838433</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7" ht="15" customHeight="1">
      <c r="A44" s="132">
        <v>45</v>
      </c>
      <c r="B44" s="133">
        <v>49</v>
      </c>
      <c r="C44" s="183">
        <v>250540</v>
      </c>
      <c r="D44" s="183">
        <v>243120</v>
      </c>
      <c r="E44" s="134">
        <f>SUM(C$37:C44)/C$52</f>
        <v>0.72532144904589013</v>
      </c>
      <c r="F44" s="134"/>
      <c r="G44" s="134">
        <f>SUM(D$37:D44)/D$52</f>
        <v>0.8216349060617596</v>
      </c>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57" ht="15" customHeight="1">
      <c r="A45" s="132">
        <v>50</v>
      </c>
      <c r="B45" s="133">
        <v>54</v>
      </c>
      <c r="C45" s="183">
        <v>212820</v>
      </c>
      <c r="D45" s="183">
        <v>189240</v>
      </c>
      <c r="E45" s="134">
        <f>SUM(C$37:C45)/C$52</f>
        <v>0.79794436406322511</v>
      </c>
      <c r="F45" s="134"/>
      <c r="G45" s="134">
        <f>SUM(D$37:D45)/D$52</f>
        <v>0.87460532503302957</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57" ht="15" customHeight="1">
      <c r="A46" s="132">
        <v>55</v>
      </c>
      <c r="B46" s="133">
        <v>59</v>
      </c>
      <c r="C46" s="183">
        <v>161760</v>
      </c>
      <c r="D46" s="183">
        <v>137120</v>
      </c>
      <c r="E46" s="134">
        <f>SUM(C$37:C46)/C$52</f>
        <v>0.8531435123256258</v>
      </c>
      <c r="F46" s="134"/>
      <c r="G46" s="134">
        <f>SUM(D$37:D46)/D$52</f>
        <v>0.91298676579259685</v>
      </c>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57" ht="15" customHeight="1">
      <c r="A47" s="132">
        <v>60</v>
      </c>
      <c r="B47" s="133">
        <v>64</v>
      </c>
      <c r="C47" s="183">
        <v>135060</v>
      </c>
      <c r="D47" s="183">
        <v>113860</v>
      </c>
      <c r="E47" s="134">
        <f>SUM(C$37:C47)/C$52</f>
        <v>0.89923152521088701</v>
      </c>
      <c r="F47" s="134"/>
      <c r="G47" s="134">
        <f>SUM(D$37:D47)/D$52</f>
        <v>0.94485746915377211</v>
      </c>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57" ht="15" customHeight="1">
      <c r="A48" s="132">
        <v>65</v>
      </c>
      <c r="B48" s="133">
        <v>69</v>
      </c>
      <c r="C48" s="183">
        <v>101860</v>
      </c>
      <c r="D48" s="183">
        <v>75540</v>
      </c>
      <c r="E48" s="134">
        <f>SUM(C$37:C48)/C$52</f>
        <v>0.93399033605416182</v>
      </c>
      <c r="F48" s="134"/>
      <c r="G48" s="134">
        <f>SUM(D$37:D48)/D$52</f>
        <v>0.96600197057572157</v>
      </c>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9" ht="15" customHeight="1">
      <c r="A49" s="132">
        <v>70</v>
      </c>
      <c r="B49" s="133">
        <v>74</v>
      </c>
      <c r="C49" s="183">
        <v>72080</v>
      </c>
      <c r="D49" s="183">
        <v>49980</v>
      </c>
      <c r="E49" s="134">
        <f>SUM(C$37:C49)/C$52</f>
        <v>0.95858698916218499</v>
      </c>
      <c r="F49" s="134"/>
      <c r="G49" s="134">
        <f>SUM(D$37:D49)/D$52</f>
        <v>0.97999193855386613</v>
      </c>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15" customHeight="1">
      <c r="A50" s="132">
        <v>75</v>
      </c>
      <c r="B50" s="133">
        <v>79</v>
      </c>
      <c r="C50" s="183">
        <v>56240</v>
      </c>
      <c r="D50" s="183">
        <v>30100</v>
      </c>
      <c r="E50" s="134">
        <f>SUM(C$37:C50)/C$52</f>
        <v>0.97777838442848952</v>
      </c>
      <c r="F50" s="134"/>
      <c r="G50" s="134">
        <f>SUM(D$37:D50)/D$52</f>
        <v>0.98841726940905117</v>
      </c>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15" customHeight="1">
      <c r="A51" s="132">
        <v>80</v>
      </c>
      <c r="B51" s="133" t="s">
        <v>116</v>
      </c>
      <c r="C51" s="183">
        <v>65120</v>
      </c>
      <c r="D51" s="183">
        <v>41380</v>
      </c>
      <c r="E51" s="134">
        <f>SUM(C$37:C51)/C$52</f>
        <v>1</v>
      </c>
      <c r="F51" s="134"/>
      <c r="G51" s="134">
        <f>SUM(D$37:D51)/D$52</f>
        <v>1</v>
      </c>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15" customHeight="1">
      <c r="A52" s="224" t="s">
        <v>1</v>
      </c>
      <c r="B52" s="224"/>
      <c r="C52" s="135">
        <f>SUM(C37:C51)</f>
        <v>2930480</v>
      </c>
      <c r="D52" s="135">
        <f>SUM(D37:D51)</f>
        <v>3572560</v>
      </c>
      <c r="E52" s="136">
        <f ca="1">INDEX($A$37:$A$51,MATCH(0.5,E$37:E$51,1),1)+2.5+5*(0.5-OFFSET(E$37,MATCH(0.5,E$37:E$51,1)-1,0))/(OFFSET(E$37,MATCH(0.5,E$37:E$51,1),0)-OFFSET(E$37,MATCH(0.5,E$37:E$51,1)-1,0))</f>
        <v>36.519458128078817</v>
      </c>
      <c r="F52" s="136"/>
      <c r="G52" s="136">
        <f ca="1">INDEX($A$37:$A$51,MATCH(0.5,G$37:G$51,1),1)+2.5+5*(0.5-OFFSET(G$37,MATCH(0.5,G$37:G$51,1)-1,0))/(OFFSET(G$37,MATCH(0.5,G$37:G$51,1),0)-OFFSET(G$37,MATCH(0.5,G$37:G$51,1)-1,0))</f>
        <v>30.309433884806438</v>
      </c>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15" customHeight="1">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15" customHeight="1">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15" customHeight="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15" customHeight="1">
      <c r="A56" s="74"/>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15" customHeight="1">
      <c r="A57" s="3"/>
      <c r="B57" s="3"/>
      <c r="C57" s="3"/>
      <c r="D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15" customHeight="1">
      <c r="A58" s="3"/>
      <c r="B58" s="3"/>
      <c r="C58" s="3"/>
      <c r="D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15" customHeight="1">
      <c r="A59" s="3"/>
      <c r="B59" s="3"/>
      <c r="C59" s="3"/>
      <c r="D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15" customHeight="1">
      <c r="A60" s="3"/>
      <c r="B60" s="3"/>
      <c r="C60" s="3"/>
      <c r="D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15" customHeight="1">
      <c r="A61" s="3"/>
      <c r="B61" s="3"/>
      <c r="C61" s="3"/>
      <c r="D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15" customHeight="1">
      <c r="A62" s="3"/>
      <c r="B62" s="3"/>
      <c r="C62" s="3"/>
      <c r="D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15" customHeight="1">
      <c r="A63" s="3"/>
      <c r="B63" s="3"/>
      <c r="C63" s="3"/>
      <c r="D63" s="3"/>
      <c r="G63" s="3"/>
      <c r="H63" s="3"/>
      <c r="I63" s="3"/>
      <c r="J63" s="75"/>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15" customHeight="1">
      <c r="A64" s="3"/>
      <c r="B64" s="3"/>
      <c r="C64" s="3"/>
      <c r="D64" s="3"/>
      <c r="G64" s="3"/>
      <c r="H64" s="4"/>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c r="A65" s="3"/>
      <c r="B65" s="3"/>
      <c r="C65" s="3"/>
      <c r="D65" s="3"/>
      <c r="E65" s="3"/>
      <c r="F65" s="3"/>
      <c r="G65" s="74"/>
      <c r="H65" s="74"/>
      <c r="I65" s="74"/>
      <c r="J65" s="3"/>
      <c r="K65" s="75"/>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c r="A66" s="3"/>
      <c r="B66" s="3"/>
      <c r="C66" s="3"/>
      <c r="D66" s="3"/>
      <c r="E66" s="3"/>
      <c r="F66" s="3"/>
      <c r="G66" s="74"/>
      <c r="H66" s="74"/>
      <c r="I66" s="74"/>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c r="A67" s="3"/>
      <c r="B67" s="3"/>
      <c r="C67" s="3"/>
      <c r="D67" s="3"/>
      <c r="E67" s="74"/>
      <c r="F67" s="74"/>
      <c r="G67" s="74"/>
      <c r="H67" s="74"/>
      <c r="I67" s="74"/>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c r="A68" s="3"/>
      <c r="B68" s="3"/>
      <c r="C68" s="3"/>
      <c r="D68" s="3"/>
      <c r="E68" s="74"/>
      <c r="F68" s="74"/>
      <c r="G68" s="74"/>
      <c r="H68" s="74"/>
      <c r="I68" s="74"/>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c r="A69" s="3"/>
      <c r="B69" s="3"/>
      <c r="C69" s="3"/>
      <c r="D69" s="3"/>
      <c r="E69" s="74"/>
      <c r="F69" s="74"/>
      <c r="G69" s="74"/>
      <c r="H69" s="74"/>
      <c r="I69" s="74"/>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c r="A70" s="3"/>
      <c r="B70" s="3"/>
      <c r="C70" s="3"/>
      <c r="D70" s="3"/>
      <c r="E70" s="74"/>
      <c r="F70" s="74"/>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c r="A71" s="3"/>
      <c r="B71" s="3"/>
      <c r="C71" s="3"/>
      <c r="D71" s="3"/>
      <c r="E71" s="74"/>
      <c r="F71" s="74"/>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c r="E125" s="3"/>
      <c r="F125" s="3"/>
      <c r="G125" s="3"/>
      <c r="H125" s="3"/>
      <c r="I125" s="3"/>
      <c r="J125" s="3"/>
      <c r="K125" s="3"/>
      <c r="L125" s="3"/>
      <c r="M125" s="3"/>
      <c r="N125" s="3"/>
      <c r="O125" s="3"/>
      <c r="P125" s="3"/>
      <c r="Q125" s="3"/>
      <c r="R125" s="3"/>
      <c r="S125" s="3"/>
      <c r="T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c r="E126" s="3"/>
      <c r="F126" s="3"/>
      <c r="G126" s="3"/>
      <c r="H126" s="3"/>
      <c r="I126" s="3"/>
      <c r="J126" s="3"/>
      <c r="K126" s="3"/>
      <c r="L126" s="3"/>
      <c r="M126" s="3"/>
      <c r="N126" s="3"/>
      <c r="O126" s="3"/>
      <c r="P126" s="3"/>
      <c r="Q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c r="E127" s="3"/>
      <c r="F127" s="3"/>
      <c r="K127" s="3"/>
      <c r="L127" s="3"/>
      <c r="M127" s="3"/>
      <c r="N127" s="3"/>
      <c r="O127" s="3"/>
      <c r="P127" s="3"/>
      <c r="Q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c r="E128" s="3"/>
      <c r="F128" s="3"/>
      <c r="K128" s="3"/>
      <c r="L128" s="3"/>
      <c r="M128" s="3"/>
      <c r="N128" s="3"/>
      <c r="O128" s="3"/>
      <c r="P128" s="3"/>
      <c r="Q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2:15">
      <c r="L129" s="3"/>
      <c r="M129" s="3"/>
      <c r="N129" s="3"/>
      <c r="O129" s="3"/>
    </row>
  </sheetData>
  <sheetProtection sheet="1" objects="1" scenarios="1"/>
  <mergeCells count="10">
    <mergeCell ref="E3:E5"/>
    <mergeCell ref="G35:G36"/>
    <mergeCell ref="A36:B36"/>
    <mergeCell ref="A52:B52"/>
    <mergeCell ref="C35:C36"/>
    <mergeCell ref="D35:D36"/>
    <mergeCell ref="E35:E36"/>
    <mergeCell ref="C15:C17"/>
    <mergeCell ref="D15:D17"/>
    <mergeCell ref="E15:E17"/>
  </mergeCells>
  <dataValidations count="3">
    <dataValidation type="decimal" operator="greaterThanOrEqual" allowBlank="1" showInputMessage="1" showErrorMessage="1" sqref="C26">
      <formula1>0</formula1>
    </dataValidation>
    <dataValidation type="decimal" operator="greaterThanOrEqual" allowBlank="1" showInputMessage="1" showErrorMessage="1" error="Enter number &gt;= 0" sqref="B6:C13 C37:D51">
      <formula1>0</formula1>
    </dataValidation>
    <dataValidation type="decimal" allowBlank="1" showInputMessage="1" showErrorMessage="1" error="Enter proportion between 0 and 1" sqref="C18:C25">
      <formula1>0</formula1>
      <formula2>1</formula2>
    </dataValidation>
  </dataValidations>
  <pageMargins left="0.51181102362204722" right="0.51181102362204722" top="0.74803149606299213" bottom="0.74803149606299213" header="0.31496062992125984" footer="0.31496062992125984"/>
  <pageSetup paperSize="9" scale="80" orientation="portrait" r:id="rId1"/>
  <headerFooter>
    <oddHeader>&amp;L&amp;"+,Bold"&amp;14Tools for Demographic Estimation&amp;R&amp;"+,Bold"&amp;14Orphanhood</oddHeader>
    <oddFooter>&amp;L&amp;"+,Regular"&amp;F&amp;R&amp;"+,Regular"&amp;D  &amp;T</oddFooter>
  </headerFooter>
  <rowBreaks count="1" manualBreakCount="1">
    <brk id="52" max="16383"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J10"/>
  <sheetViews>
    <sheetView showGridLines="0" showRowColHeaders="0" zoomScaleNormal="100" workbookViewId="0">
      <selection activeCell="B3" sqref="B3"/>
    </sheetView>
  </sheetViews>
  <sheetFormatPr defaultRowHeight="15"/>
  <sheetData>
    <row r="10" spans="10:10">
      <c r="J10" s="12"/>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59" orientation="portrait" r:id="rId1"/>
  <headerFooter>
    <oddHeader>&amp;L&amp;"+,Bold"&amp;14Tools for Demographic Estimation&amp;R&amp;"+,Bold"&amp;14Orphanhood</oddHeader>
    <oddFooter>&amp;L&amp;"+,Regular"&amp;F&amp;R&amp;"+,Regular"&amp;D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Model data</vt:lpstr>
      <vt:lpstr>Maternal orphanhood</vt:lpstr>
      <vt:lpstr>Paternal orphanhood</vt:lpstr>
      <vt:lpstr>Charts</vt:lpstr>
      <vt:lpstr>Date_of_survey</vt:lpstr>
      <vt:lpstr>MBAR</vt:lpstr>
      <vt:lpstr>MBAR_m</vt:lpstr>
      <vt:lpstr>Introduction!Print_Area</vt:lpstr>
      <vt:lpstr>'Maternal orphanhood'!Print_Area_MI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Orphanhood Teaching Sheet</dc:title>
  <dc:creator>Ian Timaeus</dc:creator>
  <cp:lastModifiedBy>01404747</cp:lastModifiedBy>
  <cp:lastPrinted>2011-11-30T18:51:59Z</cp:lastPrinted>
  <dcterms:created xsi:type="dcterms:W3CDTF">2002-05-14T18:44:24Z</dcterms:created>
  <dcterms:modified xsi:type="dcterms:W3CDTF">2018-10-17T10:42:27Z</dcterms:modified>
</cp:coreProperties>
</file>