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7400" windowHeight="7875"/>
  </bookViews>
  <sheets>
    <sheet name="Introduction" sheetId="4" r:id="rId1"/>
    <sheet name="Modèles" sheetId="5" r:id="rId2"/>
    <sheet name="Méthode" sheetId="1" r:id="rId3"/>
    <sheet name="Taux de mortalité" sheetId="6" r:id="rId4"/>
    <sheet name="Graphiques" sheetId="2" r:id="rId5"/>
  </sheets>
  <externalReferences>
    <externalReference r:id="rId6"/>
    <externalReference r:id="rId7"/>
    <externalReference r:id="rId8"/>
    <externalReference r:id="rId9"/>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localSheetId="1" hidden="1">#REF!</definedName>
    <definedName name="_Key1" localSheetId="3" hidden="1">#REF!</definedName>
    <definedName name="_Key1" hidden="1">#REF!</definedName>
    <definedName name="_Order1" hidden="1">255</definedName>
    <definedName name="_Sort" localSheetId="1" hidden="1">#REF!</definedName>
    <definedName name="_Sort" localSheetId="3" hidden="1">#REF!</definedName>
    <definedName name="_Sort" hidden="1">#REF!</definedName>
    <definedName name="ALPHAC" localSheetId="1">#REF!</definedName>
    <definedName name="ALPHAC" localSheetId="3">#REF!</definedName>
    <definedName name="ALPHAC">#REF!</definedName>
    <definedName name="ALPHAF" localSheetId="1">#REF!</definedName>
    <definedName name="ALPHAF" localSheetId="3">#REF!</definedName>
    <definedName name="ALPHAF">#REF!</definedName>
    <definedName name="ALPHAP" localSheetId="3">#REF!</definedName>
    <definedName name="ALPHAP">#REF!</definedName>
    <definedName name="BETAC" localSheetId="3">#REF!</definedName>
    <definedName name="BETAC">#REF!</definedName>
    <definedName name="BETAF" localSheetId="3">#REF!</definedName>
    <definedName name="BETAF">#REF!</definedName>
    <definedName name="BETAP" localSheetId="3">#REF!</definedName>
    <definedName name="BETAP">#REF!</definedName>
    <definedName name="CCONST" localSheetId="3">#REF!</definedName>
    <definedName name="CCONST">#REF!</definedName>
    <definedName name="CINTERCEPT" localSheetId="3">#REF!</definedName>
    <definedName name="CINTERCEPT">#REF!</definedName>
    <definedName name="CSLOP" localSheetId="3">#REF!</definedName>
    <definedName name="CSLOP">#REF!</definedName>
    <definedName name="Date_of_survey" localSheetId="1">'[2]Maternal orphanhood'!$S$1</definedName>
    <definedName name="Date_of_survey">'[3]Maternal orphanhood'!$T$1</definedName>
    <definedName name="FCONST" localSheetId="1">#REF!</definedName>
    <definedName name="FCONST" localSheetId="3">#REF!</definedName>
    <definedName name="FCONST">#REF!</definedName>
    <definedName name="FINTERCEPT" localSheetId="3">#REF!</definedName>
    <definedName name="FINTERCEPT">#REF!</definedName>
    <definedName name="FPTS" localSheetId="3">#REF!</definedName>
    <definedName name="FPTS">#REF!</definedName>
    <definedName name="FSLOP" localSheetId="3">#REF!</definedName>
    <definedName name="FSLOP">#REF!</definedName>
    <definedName name="graph1" hidden="1">[4]GOMP!$Z$26:$Z$42</definedName>
    <definedName name="graph10" hidden="1">[4]GOMP!$Y$3:$Y$9</definedName>
    <definedName name="graph11" hidden="1">[4]GOMP!$AE$26:$AE$49</definedName>
    <definedName name="graph12" hidden="1">[4]GOMP!$AE$26:$AE$49</definedName>
    <definedName name="graph13" hidden="1">[4]GOMP!$AB$26:$AB$42</definedName>
    <definedName name="graph14" hidden="1">[4]GOMP!$AB$26:$AB$42</definedName>
    <definedName name="graph15" hidden="1">[4]GOMP!$V$3:$V$19</definedName>
    <definedName name="graph16" hidden="1">[4]GOMP!$V$3:$V$9</definedName>
    <definedName name="graph17" hidden="1">[4]GOMP!$AF$26:$AF$49</definedName>
    <definedName name="graph18" hidden="1">[4]GOMP!$AF$26:$AF$49</definedName>
    <definedName name="graph19" hidden="1">[4]GOMP!$Y$26:$Y$60</definedName>
    <definedName name="graph1a" localSheetId="1" hidden="1">#REF!</definedName>
    <definedName name="graph1a" localSheetId="3" hidden="1">#REF!</definedName>
    <definedName name="graph1a" hidden="1">#REF!</definedName>
    <definedName name="graph2" hidden="1">[4]GOMP!$Z$26:$Z$42</definedName>
    <definedName name="graph20" hidden="1">[4]GOMP!$Y$26:$Y$60</definedName>
    <definedName name="graph21" hidden="1">[4]GOMP!$W$3:$W$19</definedName>
    <definedName name="graph3" hidden="1">[4]GOMP!$X$3:$X$18</definedName>
    <definedName name="graph4" hidden="1">[4]GOMP!$AC$26:$AC$42</definedName>
    <definedName name="graph5" hidden="1">[4]GOMP!$AC$26:$AC$42</definedName>
    <definedName name="graph6" hidden="1">[4]GOMP!$Y$3:$Y$19</definedName>
    <definedName name="graph7" hidden="1">[4]GOMP!$AA$26:$AA$60</definedName>
    <definedName name="graph8" hidden="1">[4]GOMP!$AA$26:$AA$60</definedName>
    <definedName name="graph9" hidden="1">[4]GOMP!$X$3:$X$9</definedName>
    <definedName name="HALF" localSheetId="1">#REF!</definedName>
    <definedName name="HALF" localSheetId="3">#REF!</definedName>
    <definedName name="HALF">#REF!</definedName>
    <definedName name="IMPORT" localSheetId="1">#REF!</definedName>
    <definedName name="IMPORT" localSheetId="3">#REF!</definedName>
    <definedName name="IMPORT">#REF!</definedName>
    <definedName name="INPUT" localSheetId="1">#REF!</definedName>
    <definedName name="INPUT" localSheetId="3">#REF!</definedName>
    <definedName name="INPUT">#REF!</definedName>
    <definedName name="LEGB" localSheetId="3">#REF!</definedName>
    <definedName name="LEGB">#REF!</definedName>
    <definedName name="LEGC" localSheetId="3">#REF!</definedName>
    <definedName name="LEGC">#REF!</definedName>
    <definedName name="LEVELC" localSheetId="3">#REF!</definedName>
    <definedName name="LEVELC">#REF!</definedName>
    <definedName name="LEVELF" localSheetId="3">#REF!</definedName>
    <definedName name="LEVELF">#REF!</definedName>
    <definedName name="LEVELP" localSheetId="3">#REF!</definedName>
    <definedName name="LEVELP">#REF!</definedName>
    <definedName name="MAXF" localSheetId="3">#REF!</definedName>
    <definedName name="MAXF">#REF!</definedName>
    <definedName name="MAXP" localSheetId="3">#REF!</definedName>
    <definedName name="MAXP">#REF!</definedName>
    <definedName name="MBAR" localSheetId="1">'[2]Maternal orphanhood'!$D$57</definedName>
    <definedName name="MBAR">'[3]Maternal orphanhood'!$D$43</definedName>
    <definedName name="MBAR_m" localSheetId="1">'[2]Paternal orphanhood'!$C$43</definedName>
    <definedName name="MBAR_m">'[3]Paternal orphanhood'!$C$31</definedName>
    <definedName name="MINF" localSheetId="1">#REF!</definedName>
    <definedName name="MINF" localSheetId="3">#REF!</definedName>
    <definedName name="MINF">#REF!</definedName>
    <definedName name="MINP" localSheetId="3">#REF!</definedName>
    <definedName name="MINP">#REF!</definedName>
    <definedName name="NC" localSheetId="3">#REF!</definedName>
    <definedName name="NC">#REF!</definedName>
    <definedName name="NF" localSheetId="3">#REF!</definedName>
    <definedName name="NF">#REF!</definedName>
    <definedName name="NONE" localSheetId="3">#REF!</definedName>
    <definedName name="NONE">#REF!</definedName>
    <definedName name="NP" localSheetId="3">#REF!</definedName>
    <definedName name="NP">#REF!</definedName>
    <definedName name="ONE_AHALF" localSheetId="3">#REF!</definedName>
    <definedName name="ONE_AHALF">#REF!</definedName>
    <definedName name="PCONST" localSheetId="3">#REF!</definedName>
    <definedName name="PCONST">#REF!</definedName>
    <definedName name="PINTERCEPT" localSheetId="3">#REF!</definedName>
    <definedName name="PINTERCEPT">#REF!</definedName>
    <definedName name="PPTS" localSheetId="3">#REF!</definedName>
    <definedName name="PPTS">#REF!</definedName>
    <definedName name="PSLOP" localSheetId="3">#REF!</definedName>
    <definedName name="PSLOP">#REF!</definedName>
    <definedName name="SHIFT" localSheetId="3">#REF!</definedName>
    <definedName name="SHIFT">#REF!</definedName>
    <definedName name="solver_adj" localSheetId="2" hidden="1">Méthode!#REF!</definedName>
    <definedName name="solver_adj" localSheetId="3" hidden="1">'Taux de mortalité'!#REF!</definedName>
    <definedName name="solver_cvg" localSheetId="2" hidden="1">0.0001</definedName>
    <definedName name="solver_cvg" localSheetId="3" hidden="1">0.0001</definedName>
    <definedName name="solver_drv" localSheetId="2" hidden="1">1</definedName>
    <definedName name="solver_drv" localSheetId="3" hidden="1">1</definedName>
    <definedName name="solver_est" localSheetId="2" hidden="1">1</definedName>
    <definedName name="solver_est" localSheetId="3" hidden="1">1</definedName>
    <definedName name="solver_itr" localSheetId="2" hidden="1">100</definedName>
    <definedName name="solver_itr" localSheetId="3" hidden="1">100</definedName>
    <definedName name="solver_lin" localSheetId="2" hidden="1">2</definedName>
    <definedName name="solver_lin" localSheetId="3" hidden="1">2</definedName>
    <definedName name="solver_neg" localSheetId="2" hidden="1">2</definedName>
    <definedName name="solver_neg" localSheetId="3" hidden="1">2</definedName>
    <definedName name="solver_num" localSheetId="2" hidden="1">0</definedName>
    <definedName name="solver_num" localSheetId="3" hidden="1">0</definedName>
    <definedName name="solver_nwt" localSheetId="2" hidden="1">1</definedName>
    <definedName name="solver_nwt" localSheetId="3" hidden="1">1</definedName>
    <definedName name="solver_opt" localSheetId="2" hidden="1">Méthode!#REF!</definedName>
    <definedName name="solver_opt" localSheetId="3" hidden="1">'Taux de mortalité'!#REF!</definedName>
    <definedName name="solver_pre" localSheetId="2" hidden="1">0.000001</definedName>
    <definedName name="solver_pre" localSheetId="3" hidden="1">0.000001</definedName>
    <definedName name="solver_scl" localSheetId="2" hidden="1">2</definedName>
    <definedName name="solver_scl" localSheetId="3" hidden="1">2</definedName>
    <definedName name="solver_sho" localSheetId="2" hidden="1">2</definedName>
    <definedName name="solver_sho" localSheetId="3" hidden="1">2</definedName>
    <definedName name="solver_tim" localSheetId="2" hidden="1">100</definedName>
    <definedName name="solver_tim" localSheetId="3" hidden="1">100</definedName>
    <definedName name="solver_tol" localSheetId="2" hidden="1">0.05</definedName>
    <definedName name="solver_tol" localSheetId="3" hidden="1">0.05</definedName>
    <definedName name="solver_typ" localSheetId="2" hidden="1">2</definedName>
    <definedName name="solver_typ" localSheetId="3" hidden="1">2</definedName>
    <definedName name="solver_val" localSheetId="2" hidden="1">0</definedName>
    <definedName name="solver_val" localSheetId="3" hidden="1">0</definedName>
    <definedName name="TITLE" localSheetId="1">#REF!</definedName>
    <definedName name="TITLE" localSheetId="3">#REF!</definedName>
    <definedName name="TITLE">#REF!</definedName>
    <definedName name="WHICH" localSheetId="1">#REF!</definedName>
    <definedName name="WHICH" localSheetId="3">#REF!</definedName>
    <definedName name="WHICH">#REF!</definedName>
    <definedName name="WHOLE" localSheetId="1">#REF!</definedName>
    <definedName name="WHOLE" localSheetId="3">#REF!</definedName>
    <definedName name="WHOLE">#REF!</definedName>
    <definedName name="XC" localSheetId="3">#REF!</definedName>
    <definedName name="XC">#REF!</definedName>
    <definedName name="XF" localSheetId="3">#REF!</definedName>
    <definedName name="XF">#REF!</definedName>
    <definedName name="XP" localSheetId="3">#REF!</definedName>
    <definedName name="XP">#REF!</definedName>
    <definedName name="XXC" localSheetId="3">#REF!</definedName>
    <definedName name="XXC">#REF!</definedName>
    <definedName name="XXF" localSheetId="3">#REF!</definedName>
    <definedName name="XXF">#REF!</definedName>
    <definedName name="XXP" localSheetId="3">#REF!</definedName>
    <definedName name="XXP">#REF!</definedName>
    <definedName name="XYC" localSheetId="3">#REF!</definedName>
    <definedName name="XYC">#REF!</definedName>
    <definedName name="XYF" localSheetId="3">#REF!</definedName>
    <definedName name="XYF">#REF!</definedName>
    <definedName name="XYP" localSheetId="3">#REF!</definedName>
    <definedName name="XYP">#REF!</definedName>
    <definedName name="YC" localSheetId="3">#REF!</definedName>
    <definedName name="YC">#REF!</definedName>
    <definedName name="YF" localSheetId="3">#REF!</definedName>
    <definedName name="YF">#REF!</definedName>
    <definedName name="YP" localSheetId="3">#REF!</definedName>
    <definedName name="YP">#REF!</definedName>
    <definedName name="YYC" localSheetId="3">#REF!</definedName>
    <definedName name="YYC">#REF!</definedName>
    <definedName name="YYF" localSheetId="3">#REF!</definedName>
    <definedName name="YYF">#REF!</definedName>
    <definedName name="YYP" localSheetId="3">#REF!</definedName>
    <definedName name="YYP">#REF!</definedName>
  </definedNames>
  <calcPr calcId="145621"/>
</workbook>
</file>

<file path=xl/calcChain.xml><?xml version="1.0" encoding="utf-8"?>
<calcChain xmlns="http://schemas.openxmlformats.org/spreadsheetml/2006/main">
  <c r="B42" i="5" l="1"/>
  <c r="B26" i="5"/>
  <c r="B41" i="5"/>
  <c r="B40" i="5"/>
  <c r="B39" i="5"/>
  <c r="B38" i="5"/>
  <c r="B37" i="5"/>
  <c r="B36" i="5"/>
  <c r="B35" i="5"/>
  <c r="B34" i="5"/>
  <c r="B33" i="5"/>
  <c r="B32" i="5"/>
  <c r="B31" i="5"/>
  <c r="B30" i="5"/>
  <c r="B29" i="5"/>
  <c r="B28" i="5"/>
  <c r="B27" i="5"/>
  <c r="G2" i="1" l="1"/>
  <c r="H24" i="6" l="1"/>
  <c r="A22" i="1" l="1"/>
  <c r="A23" i="1"/>
  <c r="A24" i="1"/>
  <c r="A21" i="1"/>
  <c r="B3" i="6"/>
  <c r="B1" i="6"/>
  <c r="R6" i="6"/>
  <c r="Q6" i="6"/>
  <c r="P6" i="6"/>
  <c r="O6" i="6"/>
  <c r="N6" i="6"/>
  <c r="M6" i="6"/>
  <c r="L6" i="6"/>
  <c r="K6" i="6"/>
  <c r="J6" i="6"/>
  <c r="I6" i="6"/>
  <c r="H6" i="6"/>
  <c r="G6" i="6"/>
  <c r="F6" i="6"/>
  <c r="E6" i="6"/>
  <c r="D6" i="6"/>
  <c r="B6" i="6"/>
  <c r="A6" i="6"/>
  <c r="G3" i="1"/>
  <c r="L9" i="1" l="1"/>
  <c r="L11" i="1"/>
  <c r="C3" i="1"/>
  <c r="C1" i="1"/>
  <c r="B23" i="5" l="1"/>
  <c r="K5" i="6" s="1"/>
  <c r="C42" i="5" l="1"/>
  <c r="C41" i="5"/>
  <c r="C40" i="5"/>
  <c r="C39" i="5"/>
  <c r="C38" i="5"/>
  <c r="C37" i="5"/>
  <c r="C36" i="5"/>
  <c r="C35" i="5"/>
  <c r="C34" i="5"/>
  <c r="C33" i="5"/>
  <c r="C32" i="5"/>
  <c r="C31" i="5"/>
  <c r="C30" i="5"/>
  <c r="C29" i="5"/>
  <c r="C28" i="5"/>
  <c r="C27" i="5"/>
  <c r="C26" i="5"/>
  <c r="D26" i="5" s="1"/>
  <c r="K8" i="6" s="1"/>
  <c r="D41" i="5" l="1"/>
  <c r="K23" i="6" s="1"/>
  <c r="L23" i="6" s="1"/>
  <c r="D35" i="5"/>
  <c r="K17" i="6" s="1"/>
  <c r="L17" i="6" s="1"/>
  <c r="D28" i="5"/>
  <c r="K10" i="6" s="1"/>
  <c r="L10" i="6" s="1"/>
  <c r="D38" i="5"/>
  <c r="K20" i="6" s="1"/>
  <c r="L20" i="6" s="1"/>
  <c r="D29" i="5"/>
  <c r="K11" i="6" s="1"/>
  <c r="L11" i="6" s="1"/>
  <c r="D32" i="5"/>
  <c r="K14" i="6" s="1"/>
  <c r="L14" i="6" s="1"/>
  <c r="D39" i="5"/>
  <c r="K21" i="6" s="1"/>
  <c r="L21" i="6" s="1"/>
  <c r="D42" i="5"/>
  <c r="K24" i="6" s="1"/>
  <c r="L24" i="6" s="1"/>
  <c r="D27" i="5"/>
  <c r="K9" i="6" s="1"/>
  <c r="L9" i="6" s="1"/>
  <c r="D30" i="5"/>
  <c r="K12" i="6" s="1"/>
  <c r="L12" i="6" s="1"/>
  <c r="D33" i="5"/>
  <c r="K15" i="6" s="1"/>
  <c r="L15" i="6" s="1"/>
  <c r="D36" i="5"/>
  <c r="K18" i="6" s="1"/>
  <c r="L18" i="6" s="1"/>
  <c r="D31" i="5"/>
  <c r="K13" i="6" s="1"/>
  <c r="L13" i="6" s="1"/>
  <c r="D34" i="5"/>
  <c r="K16" i="6" s="1"/>
  <c r="L16" i="6" s="1"/>
  <c r="D37" i="5"/>
  <c r="K19" i="6" s="1"/>
  <c r="L19" i="6" s="1"/>
  <c r="D40" i="5"/>
  <c r="K22" i="6" s="1"/>
  <c r="L22" i="6" s="1"/>
  <c r="K25" i="6" l="1"/>
  <c r="N8" i="1"/>
  <c r="J25" i="1"/>
  <c r="J24" i="1" s="1"/>
  <c r="J23" i="1" s="1"/>
  <c r="J22" i="1" s="1"/>
  <c r="J21" i="1" s="1"/>
  <c r="J20" i="1" s="1"/>
  <c r="J19" i="1" s="1"/>
  <c r="J18" i="1" s="1"/>
  <c r="J17" i="1" s="1"/>
  <c r="J16" i="1" s="1"/>
  <c r="J15" i="1" s="1"/>
  <c r="J14" i="1" s="1"/>
  <c r="J13" i="1" s="1"/>
  <c r="J12" i="1" s="1"/>
  <c r="J11" i="1" s="1"/>
  <c r="J10" i="1" s="1"/>
  <c r="J9" i="1" s="1"/>
  <c r="J8" i="1" s="1"/>
  <c r="J7" i="1"/>
  <c r="K26" i="6" l="1"/>
  <c r="L25" i="6"/>
  <c r="K27" i="6" l="1"/>
  <c r="L27" i="6" s="1"/>
  <c r="L26" i="6"/>
  <c r="I25" i="1"/>
  <c r="I24" i="1" s="1"/>
  <c r="I23" i="1" s="1"/>
  <c r="I22" i="1" s="1"/>
  <c r="I21" i="1" s="1"/>
  <c r="I20" i="1" l="1"/>
  <c r="I19" i="1" s="1"/>
  <c r="I18" i="1" s="1"/>
  <c r="I17" i="1" s="1"/>
  <c r="I16" i="1" s="1"/>
  <c r="I15" i="1" s="1"/>
  <c r="I14" i="1" s="1"/>
  <c r="I13" i="1" s="1"/>
  <c r="I12" i="1" s="1"/>
  <c r="I11" i="1" s="1"/>
  <c r="I10" i="1" s="1"/>
  <c r="I9" i="1" s="1"/>
  <c r="I8" i="1" s="1"/>
  <c r="F27" i="1" l="1"/>
  <c r="C7" i="1"/>
  <c r="D7" i="1"/>
  <c r="E7" i="1"/>
  <c r="F7" i="1"/>
  <c r="H25" i="1" l="1"/>
  <c r="H24" i="1" s="1"/>
  <c r="H23" i="1" s="1"/>
  <c r="H22" i="1" s="1"/>
  <c r="H21" i="1" s="1"/>
  <c r="G25" i="1"/>
  <c r="G24" i="1" s="1"/>
  <c r="G23" i="1" s="1"/>
  <c r="G22" i="1" s="1"/>
  <c r="G21" i="1" s="1"/>
  <c r="B24" i="1"/>
  <c r="B23" i="1"/>
  <c r="B22" i="1"/>
  <c r="B21" i="1"/>
  <c r="A25" i="1"/>
  <c r="O3" i="1" l="1"/>
  <c r="B7" i="1"/>
  <c r="G7" i="1"/>
  <c r="H7" i="1"/>
  <c r="I7" i="1"/>
  <c r="K7" i="1"/>
  <c r="L7" i="1"/>
  <c r="M7" i="1"/>
  <c r="N7" i="1"/>
  <c r="O7" i="1"/>
  <c r="P7" i="1"/>
  <c r="Q7" i="1"/>
  <c r="R7" i="1"/>
  <c r="A7" i="1"/>
  <c r="D27" i="1" l="1"/>
  <c r="C27" i="1" l="1"/>
  <c r="E27" i="1"/>
  <c r="G20" i="1"/>
  <c r="G19" i="1" s="1"/>
  <c r="G18" i="1" s="1"/>
  <c r="G17" i="1" s="1"/>
  <c r="G16" i="1" s="1"/>
  <c r="G15" i="1" s="1"/>
  <c r="G14" i="1" s="1"/>
  <c r="G13" i="1" s="1"/>
  <c r="G12" i="1" s="1"/>
  <c r="G11" i="1" l="1"/>
  <c r="G10" i="1" s="1"/>
  <c r="G9" i="1" s="1"/>
  <c r="G8" i="1" s="1"/>
  <c r="L23" i="1"/>
  <c r="L21" i="1"/>
  <c r="L22" i="1"/>
  <c r="L24" i="1"/>
  <c r="L20" i="1"/>
  <c r="L19" i="1"/>
  <c r="L18" i="1"/>
  <c r="L17" i="1"/>
  <c r="L16" i="1"/>
  <c r="L15" i="1"/>
  <c r="K25" i="1"/>
  <c r="K24" i="1"/>
  <c r="K23" i="1"/>
  <c r="L10" i="1"/>
  <c r="L14" i="1"/>
  <c r="L13" i="1"/>
  <c r="L12" i="1"/>
  <c r="K22" i="1"/>
  <c r="N24" i="1" l="1"/>
  <c r="N22" i="1"/>
  <c r="N23" i="1"/>
  <c r="O23" i="1"/>
  <c r="M24" i="1"/>
  <c r="O24" i="1"/>
  <c r="O22" i="1"/>
  <c r="M23" i="1"/>
  <c r="M22" i="1"/>
  <c r="P23" i="1" l="1"/>
  <c r="P24" i="1"/>
  <c r="P22" i="1"/>
  <c r="H20" i="1"/>
  <c r="K21" i="1"/>
  <c r="N21" i="1" s="1"/>
  <c r="M21" i="1" l="1"/>
  <c r="P21" i="1" s="1"/>
  <c r="O21" i="1"/>
  <c r="H19" i="1"/>
  <c r="K20" i="1"/>
  <c r="N20" i="1" s="1"/>
  <c r="M20" i="1" l="1"/>
  <c r="P20" i="1" s="1"/>
  <c r="O20" i="1"/>
  <c r="H18" i="1"/>
  <c r="K19" i="1"/>
  <c r="N19" i="1" s="1"/>
  <c r="M19" i="1" l="1"/>
  <c r="O19" i="1"/>
  <c r="H17" i="1"/>
  <c r="K18" i="1"/>
  <c r="N18" i="1" s="1"/>
  <c r="M18" i="1" l="1"/>
  <c r="O18" i="1"/>
  <c r="P19" i="1"/>
  <c r="H16" i="1"/>
  <c r="K17" i="1"/>
  <c r="N17" i="1" s="1"/>
  <c r="M17" i="1" l="1"/>
  <c r="O17" i="1"/>
  <c r="P18" i="1"/>
  <c r="H15" i="1"/>
  <c r="K16" i="1"/>
  <c r="N16" i="1" s="1"/>
  <c r="M16" i="1" l="1"/>
  <c r="O16" i="1"/>
  <c r="P17" i="1"/>
  <c r="H14" i="1"/>
  <c r="K15" i="1"/>
  <c r="N15" i="1" s="1"/>
  <c r="M15" i="1" l="1"/>
  <c r="O15" i="1"/>
  <c r="P16" i="1"/>
  <c r="H13" i="1"/>
  <c r="K14" i="1"/>
  <c r="N14" i="1" s="1"/>
  <c r="M14" i="1" l="1"/>
  <c r="P14" i="1" s="1"/>
  <c r="O14" i="1"/>
  <c r="P15" i="1"/>
  <c r="H12" i="1"/>
  <c r="K12" i="1" s="1"/>
  <c r="M12" i="1" s="1"/>
  <c r="K13" i="1"/>
  <c r="N13" i="1" s="1"/>
  <c r="M13" i="1" l="1"/>
  <c r="P13" i="1" s="1"/>
  <c r="O13" i="1"/>
  <c r="H11" i="1"/>
  <c r="N12" i="1"/>
  <c r="O12" i="1" l="1"/>
  <c r="H10" i="1"/>
  <c r="K11" i="1"/>
  <c r="N11" i="1" s="1"/>
  <c r="M11" i="1" l="1"/>
  <c r="P11" i="1" s="1"/>
  <c r="O11" i="1"/>
  <c r="H9" i="1"/>
  <c r="K10" i="1"/>
  <c r="N10" i="1" s="1"/>
  <c r="P12" i="1"/>
  <c r="M10" i="1" l="1"/>
  <c r="P10" i="1" s="1"/>
  <c r="O10" i="1"/>
  <c r="H8" i="1"/>
  <c r="K8" i="1" s="1"/>
  <c r="K9" i="1"/>
  <c r="O9" i="1" l="1"/>
  <c r="M9" i="1"/>
  <c r="N9" i="1"/>
  <c r="P9" i="1" l="1"/>
  <c r="Q32" i="1"/>
  <c r="Q27" i="1"/>
  <c r="Q28" i="1" l="1"/>
  <c r="Q29" i="1" s="1"/>
  <c r="Q13" i="1"/>
  <c r="R13" i="1" s="1"/>
  <c r="Q17" i="1"/>
  <c r="R17" i="1" s="1"/>
  <c r="Q20" i="1"/>
  <c r="R20" i="1" s="1"/>
  <c r="Q16" i="1"/>
  <c r="R16" i="1" s="1"/>
  <c r="Q10" i="1"/>
  <c r="R10" i="1" s="1"/>
  <c r="Q14" i="1"/>
  <c r="R14" i="1" s="1"/>
  <c r="Q21" i="1"/>
  <c r="R21" i="1" s="1"/>
  <c r="Q23" i="1"/>
  <c r="R23" i="1" s="1"/>
  <c r="Q19" i="1"/>
  <c r="R19" i="1" s="1"/>
  <c r="Q12" i="1"/>
  <c r="R12" i="1" s="1"/>
  <c r="Q9" i="1"/>
  <c r="R9" i="1" s="1"/>
  <c r="Q8" i="1"/>
  <c r="Q22" i="1"/>
  <c r="R22" i="1" s="1"/>
  <c r="Q24" i="1"/>
  <c r="R24" i="1" s="1"/>
  <c r="Q11" i="1"/>
  <c r="R11" i="1" s="1"/>
  <c r="Q18" i="1"/>
  <c r="R18" i="1" s="1"/>
  <c r="Q15" i="1"/>
  <c r="R15" i="1" s="1"/>
  <c r="B10" i="6" l="1"/>
  <c r="B14" i="6"/>
  <c r="B16" i="6"/>
  <c r="Q30" i="1"/>
  <c r="B17" i="6"/>
  <c r="B11" i="6"/>
  <c r="B15" i="6"/>
  <c r="B22" i="6"/>
  <c r="B8" i="6"/>
  <c r="B13" i="6"/>
  <c r="B9" i="6"/>
  <c r="B19" i="6"/>
  <c r="B23" i="6"/>
  <c r="B18" i="6"/>
  <c r="B12" i="6"/>
  <c r="B24" i="6"/>
  <c r="B20" i="6"/>
  <c r="B21" i="6"/>
  <c r="C11" i="6" l="1"/>
  <c r="E11" i="6" s="1"/>
  <c r="C18" i="6"/>
  <c r="E18" i="6" s="1"/>
  <c r="C12" i="6"/>
  <c r="E12" i="6" s="1"/>
  <c r="C15" i="6"/>
  <c r="E15" i="6" s="1"/>
  <c r="C9" i="6"/>
  <c r="E9" i="6" s="1"/>
  <c r="C19" i="6"/>
  <c r="E19" i="6" s="1"/>
  <c r="C8" i="6"/>
  <c r="C23" i="6"/>
  <c r="E23" i="6" s="1"/>
  <c r="C14" i="6"/>
  <c r="E14" i="6" s="1"/>
  <c r="C16" i="6"/>
  <c r="E16" i="6" s="1"/>
  <c r="C24" i="6"/>
  <c r="E24" i="6" s="1"/>
  <c r="A24" i="6" s="1"/>
  <c r="C22" i="6"/>
  <c r="E22" i="6" s="1"/>
  <c r="A22" i="6" s="1"/>
  <c r="C20" i="6"/>
  <c r="E20" i="6" s="1"/>
  <c r="C13" i="6"/>
  <c r="E13" i="6" s="1"/>
  <c r="C21" i="6"/>
  <c r="E21" i="6" s="1"/>
  <c r="C10" i="6"/>
  <c r="E10" i="6" s="1"/>
  <c r="C17" i="6"/>
  <c r="E17" i="6" s="1"/>
  <c r="Q31" i="1"/>
  <c r="Q33" i="1" s="1"/>
  <c r="B26" i="6"/>
  <c r="E8" i="6"/>
  <c r="A23" i="6" l="1"/>
  <c r="A21" i="6"/>
  <c r="C26" i="6"/>
  <c r="D23" i="6"/>
  <c r="D20" i="6"/>
  <c r="F20" i="6" s="1"/>
  <c r="D9" i="6"/>
  <c r="F9" i="6" s="1"/>
  <c r="H9" i="6" s="1"/>
  <c r="D19" i="6"/>
  <c r="F19" i="6" s="1"/>
  <c r="H19" i="6" s="1"/>
  <c r="D24" i="6"/>
  <c r="D18" i="6"/>
  <c r="F18" i="6" s="1"/>
  <c r="H18" i="6" s="1"/>
  <c r="D11" i="6"/>
  <c r="F11" i="6" s="1"/>
  <c r="H11" i="6" s="1"/>
  <c r="D13" i="6"/>
  <c r="F13" i="6" s="1"/>
  <c r="H13" i="6" s="1"/>
  <c r="D8" i="6"/>
  <c r="D14" i="6"/>
  <c r="F14" i="6" s="1"/>
  <c r="H14" i="6" s="1"/>
  <c r="D10" i="6"/>
  <c r="F10" i="6" s="1"/>
  <c r="H10" i="6" s="1"/>
  <c r="D21" i="6"/>
  <c r="H20" i="6" s="1"/>
  <c r="D17" i="6"/>
  <c r="F17" i="6" s="1"/>
  <c r="H17" i="6" s="1"/>
  <c r="D15" i="6"/>
  <c r="F15" i="6" s="1"/>
  <c r="H15" i="6" s="1"/>
  <c r="D22" i="6"/>
  <c r="F22" i="6" s="1"/>
  <c r="D12" i="6"/>
  <c r="F12" i="6" s="1"/>
  <c r="H12" i="6" s="1"/>
  <c r="D16" i="6"/>
  <c r="F16" i="6" s="1"/>
  <c r="H16" i="6" s="1"/>
  <c r="A20" i="6"/>
  <c r="D26" i="6" l="1"/>
  <c r="F8" i="6"/>
  <c r="H8" i="6" s="1"/>
  <c r="I9" i="6" s="1"/>
  <c r="F24" i="6"/>
  <c r="F23" i="6"/>
  <c r="H23" i="6" s="1"/>
  <c r="H22" i="6"/>
  <c r="F21" i="6"/>
  <c r="H21" i="6" s="1"/>
  <c r="I10" i="6" l="1"/>
  <c r="J9" i="6"/>
  <c r="I11" i="6" l="1"/>
  <c r="J10" i="6"/>
  <c r="J11" i="6" l="1"/>
  <c r="I12" i="6"/>
  <c r="I13" i="6" l="1"/>
  <c r="J12" i="6"/>
  <c r="I14" i="6" l="1"/>
  <c r="J13" i="6"/>
  <c r="I15" i="6" l="1"/>
  <c r="J14" i="6"/>
  <c r="I16" i="6" l="1"/>
  <c r="J15" i="6"/>
  <c r="I17" i="6" l="1"/>
  <c r="J16" i="6"/>
  <c r="I18" i="6" l="1"/>
  <c r="J17" i="6"/>
  <c r="I19" i="6" l="1"/>
  <c r="J18" i="6"/>
  <c r="J19" i="6" l="1"/>
  <c r="I20" i="6"/>
  <c r="I21" i="6" l="1"/>
  <c r="J20" i="6"/>
  <c r="I22" i="6" l="1"/>
  <c r="J21" i="6"/>
  <c r="I23" i="6" l="1"/>
  <c r="J22" i="6"/>
  <c r="J23" i="6" l="1"/>
  <c r="I24" i="6"/>
  <c r="J24" i="6" l="1"/>
  <c r="I25" i="6"/>
  <c r="J25" i="6" s="1"/>
  <c r="N2" i="6"/>
  <c r="N3" i="6"/>
  <c r="M9" i="6"/>
  <c r="N9" i="6" s="1"/>
  <c r="M10" i="6"/>
  <c r="N10" i="6" s="1"/>
  <c r="M22" i="6"/>
  <c r="N22" i="6" s="1"/>
  <c r="Q22" i="6" s="1"/>
  <c r="M23" i="6"/>
  <c r="N23" i="6" s="1"/>
  <c r="M19" i="6"/>
  <c r="N19" i="6"/>
  <c r="M20" i="6"/>
  <c r="N20" i="6" s="1"/>
  <c r="Q20" i="6" s="1"/>
  <c r="M15" i="6"/>
  <c r="N15" i="6"/>
  <c r="M16" i="6"/>
  <c r="N16" i="6" s="1"/>
  <c r="M11" i="6"/>
  <c r="N11" i="6" s="1"/>
  <c r="M12" i="6"/>
  <c r="N12" i="6" s="1"/>
  <c r="M18" i="6"/>
  <c r="N18" i="6" s="1"/>
  <c r="Q18" i="6" s="1"/>
  <c r="M24" i="6"/>
  <c r="N24" i="6" s="1"/>
  <c r="M25" i="6"/>
  <c r="N25" i="6" s="1"/>
  <c r="M14" i="6"/>
  <c r="N14" i="6" s="1"/>
  <c r="Q14" i="6" s="1"/>
  <c r="M17" i="6"/>
  <c r="N17" i="6" s="1"/>
  <c r="M21" i="6"/>
  <c r="N21" i="6" s="1"/>
  <c r="Q21" i="6" s="1"/>
  <c r="M13" i="6"/>
  <c r="N13" i="6" s="1"/>
  <c r="M27" i="6"/>
  <c r="N27" i="6" s="1"/>
  <c r="O27" i="6" s="1"/>
  <c r="M26" i="6"/>
  <c r="N26" i="6" s="1"/>
  <c r="Q13" i="6" l="1"/>
  <c r="Q15" i="6"/>
  <c r="Q19" i="6"/>
  <c r="O26" i="6"/>
  <c r="O25" i="6" s="1"/>
  <c r="P25" i="6" s="1"/>
  <c r="Q25" i="6" s="1"/>
  <c r="Q24" i="6"/>
  <c r="Q11" i="6"/>
  <c r="Q17" i="6"/>
  <c r="P3" i="6"/>
  <c r="Q16" i="6"/>
  <c r="Q8" i="6"/>
  <c r="Q9" i="6"/>
  <c r="Q23" i="6"/>
  <c r="O24" i="6"/>
  <c r="Q12" i="6"/>
  <c r="Q10" i="6"/>
  <c r="P2" i="6"/>
  <c r="O23" i="6" l="1"/>
  <c r="P24" i="6"/>
  <c r="P23" i="6" l="1"/>
  <c r="O22" i="6"/>
  <c r="P22" i="6" l="1"/>
  <c r="O21" i="6"/>
  <c r="P21" i="6" l="1"/>
  <c r="O20" i="6"/>
  <c r="O19" i="6" l="1"/>
  <c r="P20" i="6"/>
  <c r="P19" i="6" l="1"/>
  <c r="O18" i="6"/>
  <c r="P18" i="6" l="1"/>
  <c r="O17" i="6"/>
  <c r="P17" i="6" l="1"/>
  <c r="O16" i="6"/>
  <c r="O15" i="6" l="1"/>
  <c r="P16" i="6"/>
  <c r="P15" i="6" l="1"/>
  <c r="O14" i="6"/>
  <c r="P14" i="6" l="1"/>
  <c r="O13" i="6"/>
  <c r="P13" i="6" l="1"/>
  <c r="O12" i="6"/>
  <c r="O11" i="6" l="1"/>
  <c r="P12" i="6"/>
  <c r="O10" i="6" l="1"/>
  <c r="P11" i="6"/>
  <c r="O9" i="6" l="1"/>
  <c r="P10" i="6"/>
  <c r="O8" i="6" l="1"/>
  <c r="P8" i="6" s="1"/>
  <c r="P9" i="6"/>
</calcChain>
</file>

<file path=xl/comments1.xml><?xml version="1.0" encoding="utf-8"?>
<comments xmlns="http://schemas.openxmlformats.org/spreadsheetml/2006/main">
  <authors>
    <author>Rob Dorrrington</author>
  </authors>
  <commentList>
    <comment ref="Q29" authorId="0">
      <text>
        <r>
          <rPr>
            <b/>
            <sz val="8"/>
            <color indexed="81"/>
            <rFont val="Tahoma"/>
            <family val="2"/>
          </rPr>
          <t>Following UN manual, however, if one is using this method when deaths not centred in middle of the two censuses then need to take a view on the completeness of one of the censuses</t>
        </r>
      </text>
    </comment>
  </commentList>
</comments>
</file>

<file path=xl/comments2.xml><?xml version="1.0" encoding="utf-8"?>
<comments xmlns="http://schemas.openxmlformats.org/spreadsheetml/2006/main">
  <authors>
    <author>Rob Dorrrington</author>
  </authors>
  <commentList>
    <comment ref="O1" authorId="0">
      <text>
        <r>
          <rPr>
            <b/>
            <sz val="12"/>
            <color indexed="81"/>
            <rFont val="Tahoma"/>
            <family val="2"/>
          </rPr>
          <t>Ces valeurs ne sont valides que si la table-type utilisée pour lisser les taux de mortalité (colone AE) est appropriée. On peut voir si une table-type est  appropriée lorsque la plupart des points correspondant à l'ajustement graphique sont alignés (voir le graphique de droite). Dans le cas présenté ici, cette table-type est surtout destinée à estimer les espérance de vie de 65 à 85 ans: e(65) à e(85).</t>
        </r>
      </text>
    </comment>
  </commentList>
</comments>
</file>

<file path=xl/sharedStrings.xml><?xml version="1.0" encoding="utf-8"?>
<sst xmlns="http://schemas.openxmlformats.org/spreadsheetml/2006/main" count="140" uniqueCount="110">
  <si>
    <t>x</t>
  </si>
  <si>
    <t>Age</t>
  </si>
  <si>
    <t>Alpha  =</t>
  </si>
  <si>
    <t>45q15 =</t>
  </si>
  <si>
    <t>P1(x+)</t>
  </si>
  <si>
    <t>P2(x+)</t>
  </si>
  <si>
    <t>D(x+)</t>
  </si>
  <si>
    <t>PYL(x+)</t>
  </si>
  <si>
    <t>N(x)</t>
  </si>
  <si>
    <t>a+bx</t>
  </si>
  <si>
    <t>Beta   =</t>
  </si>
  <si>
    <t>35q15 =</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</si>
  <si>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</si>
  <si>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</si>
  <si>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</si>
  <si>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</si>
  <si>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</si>
  <si>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</si>
  <si>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</si>
  <si>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</si>
  <si>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</si>
  <si>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</si>
  <si>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</si>
  <si>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</si>
  <si>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</si>
  <si>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Total</t>
  </si>
  <si>
    <t>k1/k2 =</t>
  </si>
  <si>
    <t>k1 =</t>
  </si>
  <si>
    <t>k2 =</t>
  </si>
  <si>
    <t>k1*k2 =</t>
  </si>
  <si>
    <t>a =</t>
  </si>
  <si>
    <t>b =</t>
  </si>
  <si>
    <t>NM(x+)</t>
  </si>
  <si>
    <t>r(x+)-i(x+)</t>
  </si>
  <si>
    <t>Application</t>
  </si>
  <si>
    <r>
      <rPr>
        <b/>
        <i/>
        <sz val="11"/>
        <rFont val="Arial"/>
        <family val="2"/>
      </rPr>
      <t>e</t>
    </r>
    <r>
      <rPr>
        <b/>
        <vertAlign val="subscript"/>
        <sz val="11"/>
        <rFont val="Arial"/>
        <family val="2"/>
      </rPr>
      <t>0</t>
    </r>
    <r>
      <rPr>
        <b/>
        <sz val="11"/>
        <rFont val="Arial"/>
        <family val="2"/>
      </rPr>
      <t xml:space="preserve"> = 60</t>
    </r>
  </si>
  <si>
    <t>Standard</t>
  </si>
  <si>
    <r>
      <rPr>
        <b/>
        <i/>
        <sz val="11"/>
        <rFont val="Arial"/>
        <family val="2"/>
      </rPr>
      <t>Y</t>
    </r>
    <r>
      <rPr>
        <b/>
        <vertAlign val="subscript"/>
        <sz val="11"/>
        <rFont val="Arial"/>
        <family val="2"/>
      </rPr>
      <t>s</t>
    </r>
    <r>
      <rPr>
        <b/>
        <sz val="11"/>
        <rFont val="Arial"/>
        <family val="2"/>
      </rPr>
      <t>(</t>
    </r>
    <r>
      <rPr>
        <b/>
        <i/>
        <sz val="11"/>
        <rFont val="Arial"/>
        <family val="2"/>
      </rPr>
      <t>x</t>
    </r>
    <r>
      <rPr>
        <b/>
        <sz val="11"/>
        <rFont val="Arial"/>
        <family val="2"/>
      </rPr>
      <t>)</t>
    </r>
  </si>
  <si>
    <r>
      <rPr>
        <b/>
        <i/>
        <sz val="12"/>
        <rFont val="Arial"/>
        <family val="2"/>
      </rPr>
      <t>l</t>
    </r>
    <r>
      <rPr>
        <b/>
        <sz val="11"/>
        <rFont val="Arial"/>
        <family val="2"/>
      </rPr>
      <t>(</t>
    </r>
    <r>
      <rPr>
        <b/>
        <i/>
        <sz val="11"/>
        <rFont val="Arial"/>
        <family val="2"/>
      </rPr>
      <t>x</t>
    </r>
    <r>
      <rPr>
        <b/>
        <sz val="11"/>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</si>
  <si>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1</t>
    </r>
    <r>
      <rPr>
        <b/>
        <sz val="10"/>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</si>
  <si>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2</t>
    </r>
    <r>
      <rPr>
        <b/>
        <sz val="10"/>
        <rFont val="Arial"/>
        <family val="2"/>
      </rPr>
      <t>)</t>
    </r>
  </si>
  <si>
    <r>
      <t>5</t>
    </r>
    <r>
      <rPr>
        <b/>
        <i/>
        <sz val="10"/>
        <rFont val="Arial"/>
        <family val="2"/>
      </rPr>
      <t>D</t>
    </r>
    <r>
      <rPr>
        <b/>
        <i/>
        <vertAlign val="subscript"/>
        <sz val="10"/>
        <rFont val="Arial"/>
        <family val="2"/>
      </rPr>
      <t>x</t>
    </r>
  </si>
  <si>
    <r>
      <t>5</t>
    </r>
    <r>
      <rPr>
        <b/>
        <i/>
        <sz val="10"/>
        <rFont val="Arial"/>
        <family val="2"/>
      </rPr>
      <t>NM</t>
    </r>
    <r>
      <rPr>
        <b/>
        <i/>
        <vertAlign val="subscript"/>
        <sz val="10"/>
        <rFont val="Arial"/>
        <family val="2"/>
      </rPr>
      <t>x</t>
    </r>
  </si>
  <si>
    <r>
      <rPr>
        <b/>
        <vertAlign val="subscript"/>
        <sz val="10"/>
        <rFont val="Arial"/>
        <family val="2"/>
      </rPr>
      <t>5</t>
    </r>
    <r>
      <rPr>
        <b/>
        <i/>
        <sz val="10"/>
        <rFont val="Arial"/>
        <family val="2"/>
      </rPr>
      <t>q</t>
    </r>
    <r>
      <rPr>
        <b/>
        <i/>
        <vertAlign val="subscript"/>
        <sz val="10"/>
        <rFont val="Arial"/>
        <family val="2"/>
      </rPr>
      <t>x</t>
    </r>
  </si>
  <si>
    <r>
      <rPr>
        <b/>
        <i/>
        <sz val="10"/>
        <rFont val="Arial"/>
        <family val="2"/>
      </rPr>
      <t>l</t>
    </r>
    <r>
      <rPr>
        <b/>
        <i/>
        <vertAlign val="subscript"/>
        <sz val="10"/>
        <rFont val="Arial"/>
        <family val="2"/>
      </rPr>
      <t>x</t>
    </r>
    <r>
      <rPr>
        <b/>
        <sz val="10"/>
        <rFont val="Arial"/>
        <family val="2"/>
      </rPr>
      <t>/</t>
    </r>
    <r>
      <rPr>
        <b/>
        <i/>
        <sz val="10"/>
        <rFont val="Arial"/>
        <family val="2"/>
      </rPr>
      <t>l</t>
    </r>
    <r>
      <rPr>
        <b/>
        <vertAlign val="subscript"/>
        <sz val="10"/>
        <rFont val="Arial"/>
        <family val="2"/>
      </rPr>
      <t>5</t>
    </r>
  </si>
  <si>
    <r>
      <t xml:space="preserve">Obs. </t>
    </r>
    <r>
      <rPr>
        <b/>
        <i/>
        <sz val="10"/>
        <rFont val="Arial"/>
        <family val="2"/>
      </rPr>
      <t>Y</t>
    </r>
    <r>
      <rPr>
        <b/>
        <sz val="10"/>
        <rFont val="Arial"/>
        <family val="2"/>
      </rPr>
      <t>(</t>
    </r>
    <r>
      <rPr>
        <b/>
        <i/>
        <sz val="10"/>
        <rFont val="Arial"/>
        <family val="2"/>
      </rPr>
      <t>x</t>
    </r>
    <r>
      <rPr>
        <b/>
        <sz val="10"/>
        <rFont val="Arial"/>
        <family val="2"/>
      </rPr>
      <t>)</t>
    </r>
  </si>
  <si>
    <r>
      <t xml:space="preserve">Cdn. </t>
    </r>
    <r>
      <rPr>
        <b/>
        <i/>
        <sz val="10"/>
        <rFont val="Arial"/>
        <family val="2"/>
      </rPr>
      <t>Ys</t>
    </r>
    <r>
      <rPr>
        <b/>
        <sz val="10"/>
        <rFont val="Arial"/>
        <family val="2"/>
      </rPr>
      <t>(</t>
    </r>
    <r>
      <rPr>
        <b/>
        <i/>
        <sz val="10"/>
        <rFont val="Arial"/>
        <family val="2"/>
      </rPr>
      <t>x</t>
    </r>
    <r>
      <rPr>
        <b/>
        <sz val="10"/>
        <rFont val="Arial"/>
        <family val="2"/>
      </rPr>
      <t>)</t>
    </r>
  </si>
  <si>
    <r>
      <rPr>
        <b/>
        <i/>
        <sz val="10"/>
        <rFont val="Arial"/>
        <family val="2"/>
      </rPr>
      <t>T</t>
    </r>
    <r>
      <rPr>
        <b/>
        <sz val="10"/>
        <rFont val="Arial"/>
        <family val="2"/>
      </rPr>
      <t>(</t>
    </r>
    <r>
      <rPr>
        <b/>
        <i/>
        <sz val="10"/>
        <rFont val="Arial"/>
        <family val="2"/>
      </rPr>
      <t>x</t>
    </r>
    <r>
      <rPr>
        <b/>
        <sz val="10"/>
        <rFont val="Arial"/>
        <family val="2"/>
      </rPr>
      <t>)</t>
    </r>
  </si>
  <si>
    <r>
      <rPr>
        <b/>
        <i/>
        <sz val="10"/>
        <rFont val="Arial"/>
        <family val="2"/>
      </rPr>
      <t>e</t>
    </r>
    <r>
      <rPr>
        <b/>
        <sz val="10"/>
        <rFont val="Arial"/>
        <family val="2"/>
      </rPr>
      <t>(</t>
    </r>
    <r>
      <rPr>
        <b/>
        <i/>
        <sz val="10"/>
        <rFont val="Arial"/>
        <family val="2"/>
      </rPr>
      <t>x</t>
    </r>
    <r>
      <rPr>
        <b/>
        <sz val="10"/>
        <rFont val="Arial"/>
        <family val="2"/>
      </rPr>
      <t>)</t>
    </r>
  </si>
  <si>
    <t>d(x+) = X</t>
  </si>
  <si>
    <t>b(x+)</t>
  </si>
  <si>
    <t>b(x+)-r(x+) +i(x+) = Y</t>
  </si>
  <si>
    <t>Cette méthode est décrite dans le document suivant:</t>
  </si>
  <si>
    <t>Cette feuille de calcul permet d'estimer la complétude de l'enregistrement des décès d'adultes au cours d'une période intercensitaire, c'est à dire entre deux recensements. La feuille de calcul peut aussi s'utiliser pour estimer la complétude de l'enregistrement des décès au cours d'une période, lorqu'on ne dispose que d'un seul recensement, en supposant que la population est stable. La feuille de calcul permet aussi de lisser les taux de mortalité corrigés à l'aide d'une table-type de mortalité appropriée (c'est-à-dire qui possède un schéma par âge similaire à celui du pays analysé).</t>
  </si>
  <si>
    <t>Entrer le sexe de la population dans la cellule de droite</t>
  </si>
  <si>
    <t>Choisir le nom de la famille de tables-type de mortalité, qui servira de comparaison pour estimer les niveaux et tendances de la mortalité dans cette population. Utiliser le menu déroulant situé à droite de cette cellule.</t>
  </si>
  <si>
    <t>Entrer la date du premier recensement (AAAA/MM/JJ) dans la cellule de droite</t>
  </si>
  <si>
    <t>Entrer la date du second recensement (AAAA/MM/JJ) dans la cellule de droite</t>
  </si>
  <si>
    <r>
      <t xml:space="preserve">Effacer tous les nombres figurant dans les cellules </t>
    </r>
    <r>
      <rPr>
        <b/>
        <sz val="12"/>
        <rFont val="Arial"/>
        <family val="2"/>
      </rPr>
      <t>C8:F25</t>
    </r>
    <r>
      <rPr>
        <sz val="12"/>
        <rFont val="Arial"/>
        <family val="2"/>
      </rPr>
      <t xml:space="preserve"> dans la feuille </t>
    </r>
    <r>
      <rPr>
        <b/>
        <i/>
        <sz val="12"/>
        <rFont val="Arial"/>
        <family val="2"/>
      </rPr>
      <t>Méthode</t>
    </r>
  </si>
  <si>
    <r>
      <t xml:space="preserve">Analyser la représentation graphique, et choisir l'intervalle des âges sur lesquels on calculera la complétude (cellules </t>
    </r>
    <r>
      <rPr>
        <b/>
        <sz val="12"/>
        <rFont val="Arial"/>
        <family val="2"/>
      </rPr>
      <t>L2 &amp; L3</t>
    </r>
    <r>
      <rPr>
        <sz val="12"/>
        <rFont val="Arial"/>
        <family val="2"/>
      </rPr>
      <t>).</t>
    </r>
  </si>
  <si>
    <t>Nom du pays / Population:</t>
  </si>
  <si>
    <t>Sexe:</t>
  </si>
  <si>
    <t>Table-type de référence</t>
  </si>
  <si>
    <t xml:space="preserve">Paramètres à entrer: </t>
  </si>
  <si>
    <r>
      <t xml:space="preserve">Logits de la table-type de mortalité, </t>
    </r>
    <r>
      <rPr>
        <b/>
        <i/>
        <sz val="12"/>
        <rFont val="Arial"/>
        <family val="2"/>
      </rPr>
      <t>e</t>
    </r>
    <r>
      <rPr>
        <b/>
        <vertAlign val="subscript"/>
        <sz val="12"/>
        <rFont val="Arial"/>
        <family val="2"/>
      </rPr>
      <t>0</t>
    </r>
    <r>
      <rPr>
        <b/>
        <sz val="12"/>
        <rFont val="Arial"/>
        <family val="2"/>
      </rPr>
      <t>=60, femmes</t>
    </r>
  </si>
  <si>
    <r>
      <t>Femmes,</t>
    </r>
    <r>
      <rPr>
        <b/>
        <i/>
        <sz val="12"/>
        <rFont val="Arial Narrow"/>
        <family val="2"/>
      </rPr>
      <t xml:space="preserve"> e</t>
    </r>
    <r>
      <rPr>
        <b/>
        <vertAlign val="subscript"/>
        <sz val="12"/>
        <rFont val="Arial Narrow"/>
        <family val="2"/>
      </rPr>
      <t>0</t>
    </r>
    <r>
      <rPr>
        <b/>
        <sz val="12"/>
        <rFont val="Arial Narrow"/>
        <family val="2"/>
      </rPr>
      <t>=55</t>
    </r>
  </si>
  <si>
    <r>
      <t xml:space="preserve">Logits de la table-type de mortalité, </t>
    </r>
    <r>
      <rPr>
        <b/>
        <i/>
        <sz val="12"/>
        <rFont val="Arial"/>
        <family val="2"/>
      </rPr>
      <t>e</t>
    </r>
    <r>
      <rPr>
        <b/>
        <vertAlign val="subscript"/>
        <sz val="12"/>
        <rFont val="Arial"/>
        <family val="2"/>
      </rPr>
      <t>0</t>
    </r>
    <r>
      <rPr>
        <b/>
        <sz val="12"/>
        <rFont val="Arial"/>
        <family val="2"/>
      </rPr>
      <t>=60, hommes</t>
    </r>
  </si>
  <si>
    <r>
      <t xml:space="preserve">Hommes, </t>
    </r>
    <r>
      <rPr>
        <b/>
        <i/>
        <sz val="12"/>
        <rFont val="Arial Narrow"/>
        <family val="2"/>
      </rPr>
      <t>e</t>
    </r>
    <r>
      <rPr>
        <b/>
        <vertAlign val="subscript"/>
        <sz val="12"/>
        <rFont val="Arial Narrow"/>
        <family val="2"/>
      </rPr>
      <t>0</t>
    </r>
    <r>
      <rPr>
        <b/>
        <sz val="12"/>
        <rFont val="Arial Narrow"/>
        <family val="2"/>
      </rPr>
      <t>=50</t>
    </r>
  </si>
  <si>
    <t>Table de mortalité standard</t>
  </si>
  <si>
    <t>modifié</t>
  </si>
  <si>
    <t>Pays</t>
  </si>
  <si>
    <t>Sexe</t>
  </si>
  <si>
    <t>Date moyenne</t>
  </si>
  <si>
    <t>Période intercensitaire</t>
  </si>
  <si>
    <t>Intervalle des âges choisi pour l'ajustement de la droite</t>
  </si>
  <si>
    <t>Age minimal</t>
  </si>
  <si>
    <t>Age maximal</t>
  </si>
  <si>
    <t>&lt;-- doit être inférieur à:</t>
  </si>
  <si>
    <r>
      <t>Complétude,</t>
    </r>
    <r>
      <rPr>
        <b/>
        <i/>
        <sz val="10"/>
        <rFont val="Arial"/>
        <family val="2"/>
      </rPr>
      <t xml:space="preserve"> C =</t>
    </r>
  </si>
  <si>
    <t>Residus y-(a+bx)</t>
  </si>
  <si>
    <t>Ajusté depuis:</t>
  </si>
  <si>
    <t>Ajsuté jusqu'à:</t>
  </si>
  <si>
    <t>Avertissement</t>
  </si>
  <si>
    <r>
      <rPr>
        <b/>
        <sz val="10"/>
        <rFont val="Arial"/>
        <family val="2"/>
      </rPr>
      <t xml:space="preserve">Corrigé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1</t>
    </r>
    <r>
      <rPr>
        <b/>
        <sz val="10"/>
        <rFont val="Arial"/>
        <family val="2"/>
      </rPr>
      <t>)</t>
    </r>
  </si>
  <si>
    <r>
      <rPr>
        <b/>
        <sz val="10"/>
        <rFont val="Arial"/>
        <family val="2"/>
      </rPr>
      <t xml:space="preserve">Corrigé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2</t>
    </r>
    <r>
      <rPr>
        <b/>
        <sz val="10"/>
        <rFont val="Arial"/>
        <family val="2"/>
      </rPr>
      <t>)</t>
    </r>
  </si>
  <si>
    <r>
      <rPr>
        <b/>
        <sz val="10"/>
        <rFont val="Arial"/>
        <family val="2"/>
      </rPr>
      <t xml:space="preserve">Corrigé </t>
    </r>
    <r>
      <rPr>
        <b/>
        <vertAlign val="subscript"/>
        <sz val="10"/>
        <rFont val="Arial"/>
        <family val="2"/>
      </rPr>
      <t>5</t>
    </r>
    <r>
      <rPr>
        <b/>
        <i/>
        <sz val="10"/>
        <rFont val="Arial"/>
        <family val="2"/>
      </rPr>
      <t>D</t>
    </r>
    <r>
      <rPr>
        <b/>
        <i/>
        <vertAlign val="subscript"/>
        <sz val="10"/>
        <rFont val="Arial"/>
        <family val="2"/>
      </rPr>
      <t>x</t>
    </r>
  </si>
  <si>
    <t>Corrigé PYL(x,5)</t>
  </si>
  <si>
    <t>Corrigé 5mx</t>
  </si>
  <si>
    <r>
      <t xml:space="preserve">Lissé </t>
    </r>
    <r>
      <rPr>
        <b/>
        <i/>
        <sz val="10"/>
        <rFont val="Arial"/>
        <family val="2"/>
      </rPr>
      <t>Y</t>
    </r>
    <r>
      <rPr>
        <b/>
        <sz val="10"/>
        <rFont val="Arial"/>
        <family val="2"/>
      </rPr>
      <t>(x)</t>
    </r>
  </si>
  <si>
    <r>
      <t xml:space="preserve">Lissé </t>
    </r>
    <r>
      <rPr>
        <b/>
        <i/>
        <sz val="10"/>
        <rFont val="Arial"/>
        <family val="2"/>
      </rPr>
      <t>l</t>
    </r>
    <r>
      <rPr>
        <b/>
        <sz val="10"/>
        <rFont val="Arial"/>
        <family val="2"/>
      </rPr>
      <t>(</t>
    </r>
    <r>
      <rPr>
        <b/>
        <i/>
        <sz val="10"/>
        <rFont val="Arial"/>
        <family val="2"/>
      </rPr>
      <t>x</t>
    </r>
    <r>
      <rPr>
        <b/>
        <sz val="10"/>
        <rFont val="Arial"/>
        <family val="2"/>
      </rPr>
      <t>)</t>
    </r>
  </si>
  <si>
    <r>
      <t xml:space="preserve">Lissé </t>
    </r>
    <r>
      <rPr>
        <b/>
        <vertAlign val="subscript"/>
        <sz val="10"/>
        <rFont val="Arial"/>
        <family val="2"/>
      </rPr>
      <t>5</t>
    </r>
    <r>
      <rPr>
        <b/>
        <i/>
        <sz val="10"/>
        <rFont val="Arial"/>
        <family val="2"/>
      </rPr>
      <t>m</t>
    </r>
    <r>
      <rPr>
        <b/>
        <i/>
        <vertAlign val="subscript"/>
        <sz val="10"/>
        <rFont val="Arial"/>
        <family val="2"/>
      </rPr>
      <t>x</t>
    </r>
  </si>
  <si>
    <t>Afrique du sud</t>
  </si>
  <si>
    <r>
      <t xml:space="preserve">S'assurer que toutes les données ont le même groupe d'âge ouvert. Copier et coller les données de la première population dans les cellulles: </t>
    </r>
    <r>
      <rPr>
        <b/>
        <sz val="12"/>
        <rFont val="Arial"/>
        <family val="2"/>
      </rPr>
      <t>C8:C25</t>
    </r>
    <r>
      <rPr>
        <sz val="12"/>
        <rFont val="Arial"/>
        <family val="2"/>
      </rPr>
      <t>, clles de la seconde population en</t>
    </r>
    <r>
      <rPr>
        <b/>
        <sz val="12"/>
        <rFont val="Arial"/>
        <family val="2"/>
      </rPr>
      <t xml:space="preserve"> D8:D25</t>
    </r>
    <r>
      <rPr>
        <sz val="12"/>
        <rFont val="Arial"/>
        <family val="2"/>
      </rPr>
      <t xml:space="preserve">, et les données des décès dans les cellules </t>
    </r>
    <r>
      <rPr>
        <b/>
        <sz val="12"/>
        <rFont val="Arial"/>
        <family val="2"/>
      </rPr>
      <t>E8:E25</t>
    </r>
    <r>
      <rPr>
        <sz val="12"/>
        <rFont val="Arial"/>
        <family val="2"/>
      </rPr>
      <t xml:space="preserve"> de la feuille </t>
    </r>
    <r>
      <rPr>
        <b/>
        <i/>
        <sz val="12"/>
        <rFont val="Arial"/>
        <family val="2"/>
      </rPr>
      <t xml:space="preserve">Méthode. </t>
    </r>
    <r>
      <rPr>
        <sz val="12"/>
        <rFont val="Arial"/>
        <family val="2"/>
      </rPr>
      <t>Si on dipose de données fiables sur les migrations, les entrer dans les cellules</t>
    </r>
    <r>
      <rPr>
        <b/>
        <i/>
        <sz val="12"/>
        <rFont val="Arial"/>
        <family val="2"/>
      </rPr>
      <t xml:space="preserve"> F8:F25.</t>
    </r>
  </si>
  <si>
    <t>Estimation de la mortalité adulte à l'aide de la méthode généralisée de la balance de l'accroissement démographique - Instructions</t>
  </si>
  <si>
    <r>
      <t xml:space="preserve">Entrer dans la cellule </t>
    </r>
    <r>
      <rPr>
        <b/>
        <sz val="12"/>
        <rFont val="Arial"/>
        <family val="2"/>
      </rPr>
      <t>L3</t>
    </r>
    <r>
      <rPr>
        <sz val="12"/>
        <rFont val="Arial"/>
        <family val="2"/>
      </rPr>
      <t xml:space="preserve"> de la feuille </t>
    </r>
    <r>
      <rPr>
        <b/>
        <i/>
        <sz val="12"/>
        <rFont val="Arial"/>
        <family val="2"/>
      </rPr>
      <t>Méthode</t>
    </r>
    <r>
      <rPr>
        <sz val="12"/>
        <rFont val="Arial"/>
        <family val="2"/>
      </rPr>
      <t xml:space="preserve"> la valeur de la fin du dernier intervalle fermé, soit l'âge de début de l'intervalle ouvert moins 1.</t>
    </r>
  </si>
  <si>
    <t>Date du premier recensement (AAAA/MM/JJ):</t>
  </si>
  <si>
    <t>Date du second recensement (AAAA/MM/JJ):</t>
  </si>
  <si>
    <t>SIDA</t>
  </si>
  <si>
    <t>NU Général</t>
  </si>
  <si>
    <t>Princeton Est</t>
  </si>
  <si>
    <t>Princeton Nord</t>
  </si>
  <si>
    <t>Princeton Sud</t>
  </si>
  <si>
    <t>Princeton Ouest</t>
  </si>
  <si>
    <t>Autre</t>
  </si>
  <si>
    <r>
      <t xml:space="preserve">Les estimations des taux de mortalité corrigés du sous-enregistrement apparaissent dans les cellules </t>
    </r>
    <r>
      <rPr>
        <b/>
        <sz val="12"/>
        <rFont val="Arial"/>
        <family val="2"/>
      </rPr>
      <t>F8:F24</t>
    </r>
    <r>
      <rPr>
        <sz val="12"/>
        <rFont val="Arial"/>
        <family val="2"/>
      </rPr>
      <t xml:space="preserve"> de la feuille </t>
    </r>
    <r>
      <rPr>
        <b/>
        <i/>
        <sz val="12"/>
        <rFont val="Arial"/>
        <family val="2"/>
      </rPr>
      <t>Taux de Mortalité</t>
    </r>
  </si>
  <si>
    <r>
      <t xml:space="preserve">L'estimation de la complétude apparaît dans la cellule </t>
    </r>
    <r>
      <rPr>
        <b/>
        <sz val="12"/>
        <rFont val="Arial"/>
        <family val="2"/>
      </rPr>
      <t>Q33</t>
    </r>
    <r>
      <rPr>
        <sz val="12"/>
        <rFont val="Arial"/>
        <family val="2"/>
      </rPr>
      <t xml:space="preserve"> de la feuille </t>
    </r>
    <r>
      <rPr>
        <b/>
        <i/>
        <sz val="12"/>
        <rFont val="Arial"/>
        <family val="2"/>
      </rPr>
      <t>Méthode</t>
    </r>
    <r>
      <rPr>
        <sz val="12"/>
        <rFont val="Arial"/>
        <family val="2"/>
      </rPr>
      <t xml:space="preserve">. </t>
    </r>
  </si>
  <si>
    <r>
      <t xml:space="preserve">Les taux de mortalité lissés apparaissent dans les cellules </t>
    </r>
    <r>
      <rPr>
        <b/>
        <sz val="12"/>
        <rFont val="Arial"/>
        <family val="2"/>
      </rPr>
      <t xml:space="preserve">Q8:Q25 </t>
    </r>
    <r>
      <rPr>
        <sz val="12"/>
        <rFont val="Arial"/>
        <family val="2"/>
      </rPr>
      <t xml:space="preserve"> de la feuille</t>
    </r>
    <r>
      <rPr>
        <i/>
        <sz val="12"/>
        <rFont val="Arial"/>
        <family val="2"/>
      </rPr>
      <t xml:space="preserve"> </t>
    </r>
    <r>
      <rPr>
        <b/>
        <i/>
        <sz val="12"/>
        <rFont val="Arial"/>
        <family val="2"/>
      </rPr>
      <t>Taux de mortalité</t>
    </r>
    <r>
      <rPr>
        <sz val="12"/>
        <rFont val="Arial"/>
        <family val="2"/>
      </rPr>
      <t>.</t>
    </r>
  </si>
  <si>
    <t>http://demographicestimation.iussp.org/fr/content/la-méthode-généralisée-de-la-balance-de-l’accroissement-démographique</t>
  </si>
  <si>
    <t>Homme</t>
  </si>
  <si>
    <r>
      <t xml:space="preserve">Entrer le nom du pays ou de la population dans la cellule </t>
    </r>
    <r>
      <rPr>
        <b/>
        <sz val="12"/>
        <rFont val="Arial"/>
        <family val="2"/>
      </rPr>
      <t>D9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</si>
</sst>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 * #,##0.00_ ;_ * \-#,##0.00_ ;_ * &quot;-&quot;??_ ;_ @_ "/>
    <numFmt numFmtId="165" formatCode="0.00000"/>
    <numFmt numFmtId="166" formatCode="#,##0.0000_);\(#,##0.0000\)"/>
    <numFmt numFmtId="167" formatCode="0.00_)"/>
    <numFmt numFmtId="168" formatCode="0.0000_)"/>
    <numFmt numFmtId="169" formatCode="0.000"/>
    <numFmt numFmtId="170" formatCode="0_)"/>
    <numFmt numFmtId="171" formatCode="0.0%"/>
    <numFmt numFmtId="172" formatCode="_ * #,##0_ ;_ * \-#,##0_ ;_ * &quot;-&quot;??_ ;_ @_ "/>
    <numFmt numFmtId="173" formatCode="General_)"/>
    <numFmt numFmtId="174" formatCode="0.00_ ;\-0.00\ "/>
    <numFmt numFmtId="175" formatCode="yyyy/mm/dd;@"/>
    <numFmt numFmtId="176" formatCode="0.000_)"/>
    <numFmt numFmtId="177" formatCode="0.0000"/>
    <numFmt numFmtId="178" formatCode="0.0_)"/>
    <numFmt numFmtId="179" formatCode="_ * #,##0.00000_ ;_ * \-#,##0.00000_ ;_ * &quot;-&quot;??_ ;_ @_ "/>
  </numFmts>
  <fonts count="32">
    <font>
      <sz val="10"/>
      <name val="Arial"/>
    </font>
    <font>
      <sz val="11"/>
      <name val="Times New Roman"/>
      <family val="1"/>
    </font>
    <font>
      <sz val="11"/>
      <color indexed="12"/>
      <name val="Times New Roman"/>
      <family val="1"/>
    </font>
    <font>
      <sz val="10"/>
      <name val="Arial"/>
      <family val="2"/>
    </font>
    <font>
      <b/>
      <sz val="8"/>
      <color indexed="81"/>
      <name val="Tahoma"/>
      <family val="2"/>
    </font>
    <font>
      <b/>
      <sz val="10"/>
      <name val="Arial"/>
      <family val="2"/>
    </font>
    <font>
      <sz val="10"/>
      <name val="Arial"/>
      <family val="2"/>
    </font>
    <font>
      <sz val="12"/>
      <name val="Arial Narrow"/>
      <family val="2"/>
    </font>
    <font>
      <b/>
      <sz val="12"/>
      <name val="Arial Narrow"/>
      <family val="2"/>
    </font>
    <font>
      <b/>
      <i/>
      <sz val="12"/>
      <name val="Arial Narrow"/>
      <family val="2"/>
    </font>
    <font>
      <b/>
      <vertAlign val="subscript"/>
      <sz val="12"/>
      <name val="Arial Narrow"/>
      <family val="2"/>
    </font>
    <font>
      <b/>
      <sz val="12"/>
      <color indexed="81"/>
      <name val="Tahoma"/>
      <family val="2"/>
    </font>
    <font>
      <u/>
      <sz val="10"/>
      <color theme="10"/>
      <name val="Arial"/>
      <family val="2"/>
    </font>
    <font>
      <b/>
      <sz val="12"/>
      <name val="Arial"/>
      <family val="2"/>
    </font>
    <font>
      <sz val="12"/>
      <name val="Arial"/>
      <family val="2"/>
    </font>
    <font>
      <b/>
      <i/>
      <sz val="12"/>
      <name val="Arial"/>
      <family val="2"/>
    </font>
    <font>
      <sz val="12"/>
      <name val="Courier"/>
      <family val="3"/>
    </font>
    <font>
      <b/>
      <vertAlign val="subscript"/>
      <sz val="12"/>
      <name val="Arial"/>
      <family val="2"/>
    </font>
    <font>
      <b/>
      <sz val="11"/>
      <name val="Arial"/>
      <family val="2"/>
    </font>
    <font>
      <b/>
      <i/>
      <sz val="11"/>
      <name val="Arial"/>
      <family val="2"/>
    </font>
    <font>
      <b/>
      <vertAlign val="subscript"/>
      <sz val="11"/>
      <name val="Arial"/>
      <family val="2"/>
    </font>
    <font>
      <sz val="11"/>
      <color indexed="8"/>
      <name val="Calibri"/>
      <family val="2"/>
    </font>
    <font>
      <sz val="8"/>
      <name val="SAS Monospace"/>
    </font>
    <font>
      <sz val="10"/>
      <name val="Courier"/>
      <family val="3"/>
    </font>
    <font>
      <b/>
      <sz val="10"/>
      <color rgb="FFFF0000"/>
      <name val="Arial"/>
      <family val="2"/>
    </font>
    <font>
      <sz val="10"/>
      <color rgb="FFFF0000"/>
      <name val="Arial"/>
      <family val="2"/>
    </font>
    <font>
      <b/>
      <i/>
      <sz val="10"/>
      <name val="Arial"/>
      <family val="2"/>
    </font>
    <font>
      <b/>
      <vertAlign val="subscript"/>
      <sz val="10"/>
      <name val="Arial"/>
      <family val="2"/>
    </font>
    <font>
      <b/>
      <i/>
      <vertAlign val="subscript"/>
      <sz val="10"/>
      <name val="Arial"/>
      <family val="2"/>
    </font>
    <font>
      <sz val="10"/>
      <color indexed="10"/>
      <name val="Arial"/>
      <family val="2"/>
    </font>
    <font>
      <b/>
      <sz val="10"/>
      <color theme="1"/>
      <name val="Arial"/>
      <family val="2"/>
    </font>
    <font>
      <i/>
      <sz val="12"/>
      <name val="Arial"/>
      <family val="2"/>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theme="0"/>
        <bgColor indexed="64"/>
      </patternFill>
    </fill>
    <fill>
      <patternFill patternType="solid">
        <fgColor theme="6" tint="0.39994506668294322"/>
        <bgColor indexed="64"/>
      </patternFill>
    </fill>
    <fill>
      <patternFill patternType="solid">
        <fgColor rgb="FFFFEB9B"/>
        <bgColor indexed="64"/>
      </patternFill>
    </fill>
  </fills>
  <borders count="13">
    <border>
      <left/>
      <right/>
      <top/>
      <bottom/>
      <diagonal/>
    </border>
    <border>
      <left/>
      <right/>
      <top/>
      <bottom style="thin">
        <color indexed="64"/>
      </bottom>
      <diagonal/>
    </border>
    <border>
      <left/>
      <right/>
      <top style="thin">
        <color auto="1"/>
      </top>
      <bottom style="thin">
        <color auto="1"/>
      </bottom>
      <diagonal/>
    </border>
    <border>
      <left style="thin">
        <color theme="9" tint="-0.249977111117893"/>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
      <left/>
      <right/>
      <top style="thin">
        <color indexed="64"/>
      </top>
      <bottom/>
      <diagonal/>
    </border>
    <border>
      <left style="medium">
        <color indexed="64"/>
      </left>
      <right/>
      <top/>
      <bottom style="medium">
        <color indexed="64"/>
      </bottom>
      <diagonal/>
    </border>
  </borders>
  <cellStyleXfs count="15">
    <xf numFmtId="0" fontId="0" fillId="0" borderId="0"/>
    <xf numFmtId="9" fontId="3" fillId="0" borderId="0" applyFont="0" applyFill="0" applyBorder="0" applyAlignment="0" applyProtection="0"/>
    <xf numFmtId="0" fontId="3" fillId="0" borderId="0"/>
    <xf numFmtId="0" fontId="3" fillId="0" borderId="0"/>
    <xf numFmtId="164" fontId="6" fillId="0" borderId="0" applyFont="0" applyFill="0" applyBorder="0" applyAlignment="0" applyProtection="0"/>
    <xf numFmtId="0" fontId="3" fillId="0" borderId="0"/>
    <xf numFmtId="173" fontId="16" fillId="0" borderId="0"/>
    <xf numFmtId="164" fontId="21" fillId="0" borderId="0" applyFont="0" applyFill="0" applyBorder="0" applyAlignment="0" applyProtection="0"/>
    <xf numFmtId="0" fontId="22" fillId="0" borderId="0"/>
    <xf numFmtId="168" fontId="23" fillId="0" borderId="0"/>
    <xf numFmtId="0" fontId="3" fillId="0" borderId="0"/>
    <xf numFmtId="0" fontId="3" fillId="0" borderId="0"/>
    <xf numFmtId="168" fontId="23" fillId="0" borderId="0"/>
    <xf numFmtId="164" fontId="3" fillId="0" borderId="0" applyFont="0" applyFill="0" applyBorder="0" applyAlignment="0" applyProtection="0"/>
    <xf numFmtId="0" fontId="12" fillId="0" borderId="0" applyNumberFormat="0" applyFill="0" applyBorder="0" applyAlignment="0" applyProtection="0">
      <alignment vertical="top"/>
      <protection locked="0"/>
    </xf>
  </cellStyleXfs>
  <cellXfs count="127">
    <xf numFmtId="0" fontId="0" fillId="0" borderId="0" xfId="0"/>
    <xf numFmtId="0" fontId="3" fillId="0" borderId="0" xfId="0" applyFont="1"/>
    <xf numFmtId="9" fontId="5" fillId="0" borderId="0" xfId="1" applyFont="1"/>
    <xf numFmtId="0" fontId="7" fillId="0" borderId="0" xfId="3" applyFont="1"/>
    <xf numFmtId="0" fontId="3" fillId="0" borderId="0" xfId="3" applyFont="1"/>
    <xf numFmtId="0" fontId="14" fillId="0" borderId="0" xfId="3" applyFont="1" applyAlignment="1">
      <alignment vertical="top"/>
    </xf>
    <xf numFmtId="0" fontId="14" fillId="0" borderId="0" xfId="3" applyFont="1" applyAlignment="1">
      <alignment vertical="top" wrapText="1"/>
    </xf>
    <xf numFmtId="0" fontId="14" fillId="0" borderId="0" xfId="3" applyFont="1"/>
    <xf numFmtId="0" fontId="14" fillId="0" borderId="0" xfId="3" applyFont="1" applyAlignment="1">
      <alignment wrapText="1"/>
    </xf>
    <xf numFmtId="173" fontId="13" fillId="0" borderId="0" xfId="6" applyFont="1"/>
    <xf numFmtId="173" fontId="14" fillId="0" borderId="0" xfId="6" applyFont="1"/>
    <xf numFmtId="173" fontId="8" fillId="0" borderId="0" xfId="6" applyFont="1" applyAlignment="1">
      <alignment horizontal="center"/>
    </xf>
    <xf numFmtId="173" fontId="13" fillId="0" borderId="0" xfId="6" applyFont="1" applyAlignment="1">
      <alignment horizontal="center"/>
    </xf>
    <xf numFmtId="173" fontId="13" fillId="4" borderId="2" xfId="6" applyFont="1" applyFill="1" applyBorder="1" applyAlignment="1" applyProtection="1">
      <alignment horizontal="center"/>
      <protection hidden="1"/>
    </xf>
    <xf numFmtId="1" fontId="3" fillId="4" borderId="0" xfId="6" applyNumberFormat="1" applyFont="1" applyFill="1" applyBorder="1" applyAlignment="1" applyProtection="1">
      <alignment horizontal="center"/>
      <protection hidden="1"/>
    </xf>
    <xf numFmtId="168" fontId="3" fillId="4" borderId="0" xfId="6" applyNumberFormat="1" applyFont="1" applyFill="1" applyBorder="1" applyProtection="1">
      <protection hidden="1"/>
    </xf>
    <xf numFmtId="168" fontId="3" fillId="4" borderId="11" xfId="6" applyNumberFormat="1" applyFont="1" applyFill="1" applyBorder="1" applyProtection="1">
      <protection hidden="1"/>
    </xf>
    <xf numFmtId="176" fontId="3" fillId="3" borderId="0" xfId="6" applyNumberFormat="1" applyFont="1" applyFill="1" applyAlignment="1" applyProtection="1">
      <alignment horizontal="right"/>
      <protection locked="0"/>
    </xf>
    <xf numFmtId="1" fontId="3" fillId="4" borderId="1" xfId="6" applyNumberFormat="1" applyFont="1" applyFill="1" applyBorder="1" applyAlignment="1" applyProtection="1">
      <alignment horizontal="center"/>
      <protection hidden="1"/>
    </xf>
    <xf numFmtId="168" fontId="3" fillId="4" borderId="1" xfId="6" applyNumberFormat="1" applyFont="1" applyFill="1" applyBorder="1" applyProtection="1">
      <protection hidden="1"/>
    </xf>
    <xf numFmtId="176" fontId="3" fillId="3" borderId="1" xfId="6" applyNumberFormat="1" applyFont="1" applyFill="1" applyBorder="1" applyAlignment="1" applyProtection="1">
      <alignment horizontal="right"/>
      <protection locked="0"/>
    </xf>
    <xf numFmtId="173" fontId="13" fillId="0" borderId="0" xfId="6" applyFont="1" applyAlignment="1" applyProtection="1">
      <alignment horizontal="left"/>
    </xf>
    <xf numFmtId="165" fontId="14" fillId="0" borderId="0" xfId="6" applyNumberFormat="1" applyFont="1"/>
    <xf numFmtId="173" fontId="3" fillId="0" borderId="0" xfId="6" applyFont="1"/>
    <xf numFmtId="173" fontId="18" fillId="4" borderId="11" xfId="6" applyFont="1" applyFill="1" applyBorder="1"/>
    <xf numFmtId="173" fontId="18" fillId="4" borderId="11" xfId="6" applyFont="1" applyFill="1" applyBorder="1" applyAlignment="1">
      <alignment horizontal="center"/>
    </xf>
    <xf numFmtId="173" fontId="18" fillId="4" borderId="0" xfId="6" applyFont="1" applyFill="1" applyBorder="1" applyAlignment="1" applyProtection="1">
      <alignment horizontal="center"/>
    </xf>
    <xf numFmtId="173" fontId="18" fillId="4" borderId="0" xfId="6" applyFont="1" applyFill="1" applyBorder="1" applyAlignment="1">
      <alignment horizontal="center"/>
    </xf>
    <xf numFmtId="173" fontId="14" fillId="4" borderId="1" xfId="6" applyFont="1" applyFill="1" applyBorder="1"/>
    <xf numFmtId="168" fontId="18" fillId="4" borderId="0" xfId="6" applyNumberFormat="1" applyFont="1" applyFill="1" applyBorder="1" applyAlignment="1" applyProtection="1">
      <alignment horizontal="center"/>
    </xf>
    <xf numFmtId="168" fontId="3" fillId="4" borderId="11" xfId="6" applyNumberFormat="1" applyFont="1" applyFill="1" applyBorder="1" applyProtection="1"/>
    <xf numFmtId="168" fontId="3" fillId="4" borderId="0" xfId="6" applyNumberFormat="1" applyFont="1" applyFill="1" applyBorder="1" applyProtection="1"/>
    <xf numFmtId="168" fontId="3" fillId="4" borderId="1" xfId="6" applyNumberFormat="1" applyFont="1" applyFill="1" applyBorder="1" applyProtection="1"/>
    <xf numFmtId="0" fontId="3" fillId="0" borderId="0" xfId="3"/>
    <xf numFmtId="165" fontId="3" fillId="0" borderId="0" xfId="0" applyNumberFormat="1" applyFont="1"/>
    <xf numFmtId="37" fontId="3" fillId="0" borderId="0" xfId="0" applyNumberFormat="1" applyFont="1" applyProtection="1">
      <protection locked="0"/>
    </xf>
    <xf numFmtId="2" fontId="3" fillId="0" borderId="0" xfId="0" applyNumberFormat="1" applyFont="1"/>
    <xf numFmtId="14" fontId="3" fillId="0" borderId="0" xfId="0" applyNumberFormat="1" applyFont="1"/>
    <xf numFmtId="174" fontId="3" fillId="0" borderId="0" xfId="4" applyNumberFormat="1" applyFont="1"/>
    <xf numFmtId="0" fontId="24" fillId="0" borderId="0" xfId="0" applyFont="1"/>
    <xf numFmtId="0" fontId="25" fillId="0" borderId="0" xfId="0" applyFont="1"/>
    <xf numFmtId="1" fontId="3" fillId="0" borderId="0" xfId="0" applyNumberFormat="1" applyFont="1"/>
    <xf numFmtId="17" fontId="3" fillId="0" borderId="0" xfId="0" applyNumberFormat="1" applyFont="1"/>
    <xf numFmtId="1" fontId="26" fillId="0" borderId="2" xfId="0" applyNumberFormat="1" applyFont="1" applyBorder="1" applyAlignment="1" applyProtection="1">
      <alignment horizontal="center"/>
    </xf>
    <xf numFmtId="1" fontId="27" fillId="0" borderId="2" xfId="0" applyNumberFormat="1" applyFont="1" applyBorder="1" applyAlignment="1" applyProtection="1">
      <alignment horizontal="center"/>
    </xf>
    <xf numFmtId="0" fontId="3" fillId="0" borderId="0" xfId="0" applyFont="1" applyAlignment="1">
      <alignment horizontal="center"/>
    </xf>
    <xf numFmtId="0" fontId="5" fillId="0" borderId="0" xfId="0" applyFont="1"/>
    <xf numFmtId="3" fontId="3" fillId="0" borderId="0" xfId="0" applyNumberFormat="1" applyFont="1"/>
    <xf numFmtId="172" fontId="3" fillId="0" borderId="0" xfId="4" applyNumberFormat="1" applyFont="1"/>
    <xf numFmtId="0" fontId="5" fillId="0" borderId="0" xfId="0" applyFont="1" applyAlignment="1">
      <alignment horizontal="center"/>
    </xf>
    <xf numFmtId="171" fontId="3" fillId="0" borderId="0" xfId="1" applyNumberFormat="1" applyFont="1"/>
    <xf numFmtId="0" fontId="29" fillId="0" borderId="0" xfId="0" applyFont="1"/>
    <xf numFmtId="177" fontId="3" fillId="0" borderId="0" xfId="0" applyNumberFormat="1" applyFont="1"/>
    <xf numFmtId="0" fontId="26" fillId="0" borderId="2" xfId="0" applyFont="1" applyBorder="1"/>
    <xf numFmtId="0" fontId="3" fillId="5" borderId="0" xfId="0" applyFont="1" applyFill="1"/>
    <xf numFmtId="1" fontId="3" fillId="5" borderId="0" xfId="0" applyNumberFormat="1" applyFont="1" applyFill="1"/>
    <xf numFmtId="3" fontId="3" fillId="5" borderId="0" xfId="0" applyNumberFormat="1" applyFont="1" applyFill="1"/>
    <xf numFmtId="0" fontId="5" fillId="0" borderId="0" xfId="0" applyFont="1" applyAlignment="1">
      <alignment horizontal="right"/>
    </xf>
    <xf numFmtId="9" fontId="5" fillId="6" borderId="0" xfId="1" applyFont="1" applyFill="1"/>
    <xf numFmtId="0" fontId="26" fillId="0" borderId="2" xfId="0" quotePrefix="1" applyFont="1" applyBorder="1" applyAlignment="1">
      <alignment wrapText="1"/>
    </xf>
    <xf numFmtId="0" fontId="26" fillId="0" borderId="2" xfId="0" applyFont="1" applyBorder="1" applyAlignment="1">
      <alignment wrapText="1"/>
    </xf>
    <xf numFmtId="0" fontId="3" fillId="0" borderId="0" xfId="3" applyFont="1" applyBorder="1"/>
    <xf numFmtId="0" fontId="24" fillId="0" borderId="0" xfId="3" applyFont="1"/>
    <xf numFmtId="0" fontId="25" fillId="0" borderId="0" xfId="3" applyFont="1"/>
    <xf numFmtId="0" fontId="3" fillId="5" borderId="0" xfId="3" applyFont="1" applyFill="1"/>
    <xf numFmtId="166" fontId="3" fillId="0" borderId="0" xfId="3" applyNumberFormat="1" applyFont="1" applyAlignment="1" applyProtection="1">
      <alignment horizontal="left"/>
    </xf>
    <xf numFmtId="168" fontId="3" fillId="0" borderId="0" xfId="3" applyNumberFormat="1" applyFont="1" applyProtection="1"/>
    <xf numFmtId="168" fontId="25" fillId="0" borderId="0" xfId="3" applyNumberFormat="1" applyFont="1"/>
    <xf numFmtId="1" fontId="26" fillId="0" borderId="2" xfId="3" applyNumberFormat="1" applyFont="1" applyBorder="1" applyAlignment="1" applyProtection="1">
      <alignment horizontal="center"/>
    </xf>
    <xf numFmtId="1" fontId="27" fillId="0" borderId="2" xfId="3" applyNumberFormat="1" applyFont="1" applyBorder="1" applyAlignment="1" applyProtection="1">
      <alignment horizontal="center" wrapText="1"/>
    </xf>
    <xf numFmtId="0" fontId="5" fillId="0" borderId="2" xfId="3" applyFont="1" applyBorder="1" applyAlignment="1">
      <alignment horizontal="center" wrapText="1"/>
    </xf>
    <xf numFmtId="0" fontId="26" fillId="0" borderId="2" xfId="3" applyFont="1" applyBorder="1" applyAlignment="1">
      <alignment horizontal="center"/>
    </xf>
    <xf numFmtId="0" fontId="5" fillId="0" borderId="2" xfId="3" applyFont="1" applyBorder="1" applyAlignment="1">
      <alignment horizontal="center"/>
    </xf>
    <xf numFmtId="166" fontId="5" fillId="0" borderId="2" xfId="3" applyNumberFormat="1" applyFont="1" applyBorder="1" applyAlignment="1" applyProtection="1">
      <alignment horizontal="center"/>
    </xf>
    <xf numFmtId="166" fontId="5" fillId="0" borderId="2" xfId="3" applyNumberFormat="1" applyFont="1" applyBorder="1" applyAlignment="1" applyProtection="1">
      <alignment horizontal="center" wrapText="1"/>
    </xf>
    <xf numFmtId="0" fontId="5" fillId="0" borderId="2" xfId="3" applyFont="1" applyBorder="1" applyAlignment="1" applyProtection="1">
      <alignment horizontal="center"/>
    </xf>
    <xf numFmtId="170" fontId="5" fillId="0" borderId="2" xfId="3" applyNumberFormat="1" applyFont="1" applyBorder="1" applyAlignment="1" applyProtection="1">
      <alignment horizontal="center"/>
    </xf>
    <xf numFmtId="167" fontId="5" fillId="0" borderId="2" xfId="3" applyNumberFormat="1" applyFont="1" applyBorder="1" applyAlignment="1" applyProtection="1">
      <alignment horizontal="center"/>
    </xf>
    <xf numFmtId="167" fontId="5" fillId="0" borderId="2" xfId="3" applyNumberFormat="1" applyFont="1" applyBorder="1" applyAlignment="1" applyProtection="1">
      <alignment horizontal="center" wrapText="1"/>
    </xf>
    <xf numFmtId="0" fontId="3" fillId="0" borderId="0" xfId="3" applyFont="1" applyAlignment="1">
      <alignment horizontal="center"/>
    </xf>
    <xf numFmtId="0" fontId="5" fillId="0" borderId="0" xfId="3" applyFont="1"/>
    <xf numFmtId="172" fontId="3" fillId="0" borderId="0" xfId="13" applyNumberFormat="1" applyFont="1"/>
    <xf numFmtId="177" fontId="3" fillId="6" borderId="0" xfId="3" applyNumberFormat="1" applyFont="1" applyFill="1"/>
    <xf numFmtId="177" fontId="3" fillId="0" borderId="0" xfId="3" applyNumberFormat="1" applyFont="1"/>
    <xf numFmtId="166" fontId="3" fillId="0" borderId="0" xfId="3" applyNumberFormat="1" applyFont="1" applyProtection="1"/>
    <xf numFmtId="170" fontId="3" fillId="6" borderId="0" xfId="3" applyNumberFormat="1" applyFont="1" applyFill="1" applyProtection="1"/>
    <xf numFmtId="176" fontId="3" fillId="0" borderId="0" xfId="3" applyNumberFormat="1" applyFont="1" applyProtection="1"/>
    <xf numFmtId="178" fontId="3" fillId="6" borderId="0" xfId="3" applyNumberFormat="1" applyFont="1" applyFill="1" applyProtection="1"/>
    <xf numFmtId="168" fontId="3" fillId="6" borderId="0" xfId="3" applyNumberFormat="1" applyFont="1" applyFill="1" applyProtection="1"/>
    <xf numFmtId="0" fontId="30" fillId="0" borderId="0" xfId="3" applyFont="1" applyAlignment="1">
      <alignment horizontal="center"/>
    </xf>
    <xf numFmtId="0" fontId="1" fillId="0" borderId="0" xfId="3" applyFont="1" applyBorder="1"/>
    <xf numFmtId="0" fontId="1" fillId="0" borderId="0" xfId="3" applyFont="1"/>
    <xf numFmtId="0" fontId="2" fillId="0" borderId="0" xfId="3" applyFont="1"/>
    <xf numFmtId="179" fontId="5" fillId="0" borderId="0" xfId="4" applyNumberFormat="1" applyFont="1"/>
    <xf numFmtId="169" fontId="3" fillId="0" borderId="0" xfId="3" applyNumberFormat="1" applyFont="1"/>
    <xf numFmtId="9" fontId="3" fillId="0" borderId="0" xfId="1" applyFont="1"/>
    <xf numFmtId="0" fontId="14" fillId="3" borderId="8" xfId="0" applyFont="1" applyFill="1" applyBorder="1" applyAlignment="1" applyProtection="1">
      <alignment horizontal="center"/>
      <protection locked="0"/>
    </xf>
    <xf numFmtId="0" fontId="14" fillId="3" borderId="9" xfId="0" applyFont="1" applyFill="1" applyBorder="1" applyAlignment="1" applyProtection="1">
      <alignment horizontal="center"/>
      <protection locked="0"/>
    </xf>
    <xf numFmtId="175" fontId="14" fillId="3" borderId="9" xfId="0" applyNumberFormat="1" applyFont="1" applyFill="1" applyBorder="1" applyAlignment="1" applyProtection="1">
      <alignment horizontal="center"/>
      <protection locked="0"/>
    </xf>
    <xf numFmtId="175" fontId="14" fillId="3" borderId="10" xfId="0" applyNumberFormat="1" applyFont="1" applyFill="1" applyBorder="1" applyAlignment="1" applyProtection="1">
      <alignment horizontal="center"/>
      <protection locked="0"/>
    </xf>
    <xf numFmtId="0" fontId="3" fillId="0" borderId="0" xfId="3" applyFont="1" applyProtection="1"/>
    <xf numFmtId="0" fontId="3" fillId="0" borderId="0" xfId="3" applyFont="1" applyAlignment="1" applyProtection="1">
      <alignment wrapText="1"/>
    </xf>
    <xf numFmtId="0" fontId="7" fillId="0" borderId="0" xfId="3" applyFont="1" applyProtection="1"/>
    <xf numFmtId="0" fontId="13" fillId="0" borderId="0" xfId="3" applyFont="1" applyProtection="1"/>
    <xf numFmtId="0" fontId="14" fillId="0" borderId="0" xfId="3" applyFont="1" applyAlignment="1" applyProtection="1"/>
    <xf numFmtId="0" fontId="14" fillId="0" borderId="0" xfId="3" applyFont="1" applyAlignment="1" applyProtection="1">
      <alignment horizontal="left" wrapText="1"/>
    </xf>
    <xf numFmtId="0" fontId="14" fillId="0" borderId="0" xfId="3" applyFont="1" applyProtection="1"/>
    <xf numFmtId="0" fontId="14" fillId="0" borderId="0" xfId="3" applyFont="1" applyAlignment="1" applyProtection="1">
      <alignment vertical="top"/>
    </xf>
    <xf numFmtId="0" fontId="14" fillId="0" borderId="0" xfId="0" applyFont="1" applyAlignment="1" applyProtection="1">
      <alignment horizontal="left" wrapText="1"/>
    </xf>
    <xf numFmtId="0" fontId="14" fillId="0" borderId="0" xfId="3" applyFont="1" applyAlignment="1" applyProtection="1">
      <alignment vertical="top" wrapText="1"/>
    </xf>
    <xf numFmtId="0" fontId="14" fillId="0" borderId="7" xfId="0" applyFont="1" applyFill="1" applyBorder="1" applyProtection="1"/>
    <xf numFmtId="0" fontId="14" fillId="0" borderId="4" xfId="0" applyFont="1" applyFill="1" applyBorder="1" applyProtection="1"/>
    <xf numFmtId="0" fontId="7" fillId="0" borderId="4" xfId="3" applyFont="1" applyBorder="1" applyProtection="1"/>
    <xf numFmtId="0" fontId="3" fillId="0" borderId="0" xfId="3" applyFont="1" applyAlignment="1">
      <alignment horizontal="right"/>
    </xf>
    <xf numFmtId="1" fontId="27" fillId="0" borderId="2" xfId="0" applyNumberFormat="1" applyFont="1" applyBorder="1" applyAlignment="1" applyProtection="1">
      <alignment horizontal="center" wrapText="1"/>
    </xf>
    <xf numFmtId="0" fontId="5" fillId="0" borderId="0" xfId="3" applyFont="1" applyAlignment="1">
      <alignment horizontal="center"/>
    </xf>
    <xf numFmtId="173" fontId="13" fillId="4" borderId="2" xfId="6" applyFont="1" applyFill="1" applyBorder="1" applyAlignment="1" applyProtection="1">
      <alignment horizontal="right" wrapText="1"/>
      <protection hidden="1"/>
    </xf>
    <xf numFmtId="173" fontId="13" fillId="4" borderId="2" xfId="6" applyFont="1" applyFill="1" applyBorder="1" applyAlignment="1" applyProtection="1">
      <alignment horizontal="right"/>
      <protection hidden="1"/>
    </xf>
    <xf numFmtId="0" fontId="7" fillId="0" borderId="12" xfId="3" applyFont="1" applyBorder="1" applyProtection="1"/>
    <xf numFmtId="0" fontId="14" fillId="0" borderId="0" xfId="0" applyFont="1" applyFill="1" applyBorder="1" applyAlignment="1" applyProtection="1">
      <alignment horizontal="center"/>
      <protection locked="0"/>
    </xf>
    <xf numFmtId="0" fontId="13" fillId="2" borderId="3" xfId="5" applyFont="1" applyFill="1" applyBorder="1" applyAlignment="1" applyProtection="1">
      <alignment horizontal="center" wrapText="1"/>
    </xf>
    <xf numFmtId="0" fontId="3" fillId="0" borderId="0" xfId="3" applyAlignment="1" applyProtection="1">
      <alignment wrapText="1"/>
    </xf>
    <xf numFmtId="0" fontId="14" fillId="0" borderId="0" xfId="5" applyFont="1" applyFill="1" applyAlignment="1" applyProtection="1">
      <alignment horizontal="left"/>
    </xf>
    <xf numFmtId="173" fontId="12" fillId="0" borderId="0" xfId="14" applyNumberFormat="1" applyFill="1" applyBorder="1" applyAlignment="1" applyProtection="1">
      <alignment horizontal="left"/>
      <protection locked="0"/>
    </xf>
    <xf numFmtId="0" fontId="14" fillId="0" borderId="0" xfId="3" applyFont="1" applyAlignment="1" applyProtection="1">
      <alignment horizontal="left" vertical="top" wrapText="1"/>
    </xf>
    <xf numFmtId="0" fontId="13" fillId="0" borderId="5" xfId="0" applyFont="1" applyBorder="1" applyAlignment="1" applyProtection="1">
      <alignment horizontal="center"/>
    </xf>
    <xf numFmtId="0" fontId="13" fillId="0" borderId="6" xfId="0" applyFont="1" applyBorder="1" applyAlignment="1" applyProtection="1">
      <alignment horizontal="center"/>
    </xf>
  </cellXfs>
  <cellStyles count="15">
    <cellStyle name="Comma" xfId="4" builtinId="3"/>
    <cellStyle name="Comma 2" xfId="13"/>
    <cellStyle name="Comma 3" xfId="7"/>
    <cellStyle name="Hyperlink 3" xfId="14"/>
    <cellStyle name="Normal" xfId="0" builtinId="0"/>
    <cellStyle name="Normal 2" xfId="3"/>
    <cellStyle name="Normal 2 2" xfId="2"/>
    <cellStyle name="Normal 2 3" xfId="8"/>
    <cellStyle name="Normal 2 4" xfId="9"/>
    <cellStyle name="Normal 3" xfId="6"/>
    <cellStyle name="Normal 3 2" xfId="10"/>
    <cellStyle name="Normal 3 2 2" xfId="5"/>
    <cellStyle name="Normal 3 3" xfId="11"/>
    <cellStyle name="Normal 4" xfId="12"/>
    <cellStyle name="Percent" xfId="1" builtinId="5"/>
  </cellStyles>
  <dxfs count="0"/>
  <tableStyles count="0" defaultTableStyle="TableStyleMedium9" defaultPivotStyle="PivotStyleLight16"/>
  <colors>
    <mruColors>
      <color rgb="FFFFEB9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906345948233231"/>
          <c:y val="8.7542375389230098E-2"/>
          <c:w val="0.74238960771645368"/>
          <c:h val="0.64309975766703531"/>
        </c:manualLayout>
      </c:layout>
      <c:scatterChart>
        <c:scatterStyle val="lineMarker"/>
        <c:varyColors val="0"/>
        <c:ser>
          <c:idx val="0"/>
          <c:order val="0"/>
          <c:tx>
            <c:v>Observé</c:v>
          </c:tx>
          <c:spPr>
            <a:ln w="28575">
              <a:noFill/>
            </a:ln>
          </c:spPr>
          <c:marker>
            <c:symbol val="diamond"/>
            <c:size val="5"/>
            <c:spPr>
              <a:solidFill>
                <a:srgbClr val="000080"/>
              </a:solidFill>
              <a:ln>
                <a:solidFill>
                  <a:srgbClr val="000080"/>
                </a:solidFill>
                <a:prstDash val="solid"/>
              </a:ln>
            </c:spPr>
          </c:marker>
          <c:xVal>
            <c:numRef>
              <c:f>Méthode!$O$8:$O$24</c:f>
              <c:numCache>
                <c:formatCode>0.00000</c:formatCode>
                <c:ptCount val="17"/>
                <c:pt idx="0">
                  <c:v>0</c:v>
                </c:pt>
                <c:pt idx="1">
                  <c:v>1.3642358181645073E-2</c:v>
                </c:pt>
                <c:pt idx="2">
                  <c:v>1.5341326551281041E-2</c:v>
                </c:pt>
                <c:pt idx="3">
                  <c:v>1.7678617695273954E-2</c:v>
                </c:pt>
                <c:pt idx="4">
                  <c:v>2.0646703099865535E-2</c:v>
                </c:pt>
                <c:pt idx="5">
                  <c:v>2.3753123661601129E-2</c:v>
                </c:pt>
                <c:pt idx="6">
                  <c:v>2.6568905357313054E-2</c:v>
                </c:pt>
                <c:pt idx="7">
                  <c:v>2.9264092582440237E-2</c:v>
                </c:pt>
                <c:pt idx="8">
                  <c:v>3.2012514999195309E-2</c:v>
                </c:pt>
                <c:pt idx="9">
                  <c:v>3.579486635960151E-2</c:v>
                </c:pt>
                <c:pt idx="10">
                  <c:v>4.1002641902739272E-2</c:v>
                </c:pt>
                <c:pt idx="11">
                  <c:v>4.6914671150012362E-2</c:v>
                </c:pt>
                <c:pt idx="12">
                  <c:v>5.5133055993111038E-2</c:v>
                </c:pt>
                <c:pt idx="13">
                  <c:v>6.573311698940465E-2</c:v>
                </c:pt>
                <c:pt idx="14">
                  <c:v>8.0352182592064808E-2</c:v>
                </c:pt>
                <c:pt idx="15">
                  <c:v>9.8854107574242678E-2</c:v>
                </c:pt>
                <c:pt idx="16">
                  <c:v>0.12342409203535802</c:v>
                </c:pt>
              </c:numCache>
            </c:numRef>
          </c:xVal>
          <c:yVal>
            <c:numRef>
              <c:f>Méthode!$P$8:$P$24</c:f>
              <c:numCache>
                <c:formatCode>0.00000</c:formatCode>
                <c:ptCount val="17"/>
                <c:pt idx="1">
                  <c:v>9.7189236334262498E-3</c:v>
                </c:pt>
                <c:pt idx="2">
                  <c:v>1.3119539228598152E-2</c:v>
                </c:pt>
                <c:pt idx="3">
                  <c:v>1.5697417965391036E-2</c:v>
                </c:pt>
                <c:pt idx="4">
                  <c:v>1.8027670267322497E-2</c:v>
                </c:pt>
                <c:pt idx="5">
                  <c:v>1.9799858957548065E-2</c:v>
                </c:pt>
                <c:pt idx="6">
                  <c:v>2.3078233551716777E-2</c:v>
                </c:pt>
                <c:pt idx="7">
                  <c:v>2.7117347289798907E-2</c:v>
                </c:pt>
                <c:pt idx="8">
                  <c:v>3.0816743841320039E-2</c:v>
                </c:pt>
                <c:pt idx="9">
                  <c:v>3.3515536064685797E-2</c:v>
                </c:pt>
                <c:pt idx="10">
                  <c:v>3.7256648645626611E-2</c:v>
                </c:pt>
                <c:pt idx="11">
                  <c:v>4.4078554033339712E-2</c:v>
                </c:pt>
                <c:pt idx="12">
                  <c:v>5.3336920204571155E-2</c:v>
                </c:pt>
                <c:pt idx="13">
                  <c:v>6.7320489468120664E-2</c:v>
                </c:pt>
                <c:pt idx="14">
                  <c:v>8.5590466888097266E-2</c:v>
                </c:pt>
                <c:pt idx="15">
                  <c:v>0.10552848998881555</c:v>
                </c:pt>
                <c:pt idx="16">
                  <c:v>0.12653816829767017</c:v>
                </c:pt>
              </c:numCache>
            </c:numRef>
          </c:yVal>
          <c:smooth val="0"/>
        </c:ser>
        <c:ser>
          <c:idx val="1"/>
          <c:order val="1"/>
          <c:tx>
            <c:v>Ajusté</c:v>
          </c:tx>
          <c:spPr>
            <a:ln w="12700">
              <a:solidFill>
                <a:srgbClr val="FF00FF"/>
              </a:solidFill>
              <a:prstDash val="solid"/>
            </a:ln>
          </c:spPr>
          <c:marker>
            <c:symbol val="none"/>
          </c:marker>
          <c:xVal>
            <c:numRef>
              <c:f>Méthode!$O$8:$O$24</c:f>
              <c:numCache>
                <c:formatCode>0.00000</c:formatCode>
                <c:ptCount val="17"/>
                <c:pt idx="0">
                  <c:v>0</c:v>
                </c:pt>
                <c:pt idx="1">
                  <c:v>1.3642358181645073E-2</c:v>
                </c:pt>
                <c:pt idx="2">
                  <c:v>1.5341326551281041E-2</c:v>
                </c:pt>
                <c:pt idx="3">
                  <c:v>1.7678617695273954E-2</c:v>
                </c:pt>
                <c:pt idx="4">
                  <c:v>2.0646703099865535E-2</c:v>
                </c:pt>
                <c:pt idx="5">
                  <c:v>2.3753123661601129E-2</c:v>
                </c:pt>
                <c:pt idx="6">
                  <c:v>2.6568905357313054E-2</c:v>
                </c:pt>
                <c:pt idx="7">
                  <c:v>2.9264092582440237E-2</c:v>
                </c:pt>
                <c:pt idx="8">
                  <c:v>3.2012514999195309E-2</c:v>
                </c:pt>
                <c:pt idx="9">
                  <c:v>3.579486635960151E-2</c:v>
                </c:pt>
                <c:pt idx="10">
                  <c:v>4.1002641902739272E-2</c:v>
                </c:pt>
                <c:pt idx="11">
                  <c:v>4.6914671150012362E-2</c:v>
                </c:pt>
                <c:pt idx="12">
                  <c:v>5.5133055993111038E-2</c:v>
                </c:pt>
                <c:pt idx="13">
                  <c:v>6.573311698940465E-2</c:v>
                </c:pt>
                <c:pt idx="14">
                  <c:v>8.0352182592064808E-2</c:v>
                </c:pt>
                <c:pt idx="15">
                  <c:v>9.8854107574242678E-2</c:v>
                </c:pt>
                <c:pt idx="16">
                  <c:v>0.12342409203535802</c:v>
                </c:pt>
              </c:numCache>
            </c:numRef>
          </c:xVal>
          <c:yVal>
            <c:numRef>
              <c:f>Méthode!$Q$8:$Q$24</c:f>
              <c:numCache>
                <c:formatCode>0.0000</c:formatCode>
                <c:ptCount val="17"/>
                <c:pt idx="0">
                  <c:v>-5.0133003548464145E-3</c:v>
                </c:pt>
                <c:pt idx="1">
                  <c:v>9.8434734488138907E-3</c:v>
                </c:pt>
                <c:pt idx="2">
                  <c:v>1.1693680607369188E-2</c:v>
                </c:pt>
                <c:pt idx="3">
                  <c:v>1.4239032765496869E-2</c:v>
                </c:pt>
                <c:pt idx="4">
                  <c:v>1.7471331236100823E-2</c:v>
                </c:pt>
                <c:pt idx="5">
                  <c:v>2.0854279184706868E-2</c:v>
                </c:pt>
                <c:pt idx="6">
                  <c:v>2.3920716172848945E-2</c:v>
                </c:pt>
                <c:pt idx="7">
                  <c:v>2.6855823610220229E-2</c:v>
                </c:pt>
                <c:pt idx="8">
                  <c:v>2.9848905130215597E-2</c:v>
                </c:pt>
                <c:pt idx="9">
                  <c:v>3.3967953894316116E-2</c:v>
                </c:pt>
                <c:pt idx="10">
                  <c:v>3.9639315270000371E-2</c:v>
                </c:pt>
                <c:pt idx="11">
                  <c:v>4.607762161541909E-2</c:v>
                </c:pt>
                <c:pt idx="12">
                  <c:v>5.5027590749760054E-2</c:v>
                </c:pt>
                <c:pt idx="13">
                  <c:v>6.6571248116770051E-2</c:v>
                </c:pt>
                <c:pt idx="14">
                  <c:v>8.249167389563658E-2</c:v>
                </c:pt>
                <c:pt idx="15">
                  <c:v>0.10264060348189685</c:v>
                </c:pt>
                <c:pt idx="16">
                  <c:v>0.12939775914647728</c:v>
                </c:pt>
              </c:numCache>
            </c:numRef>
          </c:yVal>
          <c:smooth val="0"/>
        </c:ser>
        <c:dLbls>
          <c:showLegendKey val="0"/>
          <c:showVal val="0"/>
          <c:showCatName val="0"/>
          <c:showSerName val="0"/>
          <c:showPercent val="0"/>
          <c:showBubbleSize val="0"/>
        </c:dLbls>
        <c:axId val="177600384"/>
        <c:axId val="177422336"/>
      </c:scatterChart>
      <c:valAx>
        <c:axId val="177600384"/>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n-ZA"/>
                  <a:t>d(x+)</a:t>
                </a:r>
              </a:p>
            </c:rich>
          </c:tx>
          <c:layout>
            <c:manualLayout>
              <c:xMode val="edge"/>
              <c:yMode val="edge"/>
              <c:x val="0.53161641680035898"/>
              <c:y val="0.78451425894994953"/>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177422336"/>
        <c:crosses val="autoZero"/>
        <c:crossBetween val="midCat"/>
      </c:valAx>
      <c:valAx>
        <c:axId val="177422336"/>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n-ZA"/>
                  <a:t>n(x+)-r(x+)+i(x+)</a:t>
                </a:r>
              </a:p>
            </c:rich>
          </c:tx>
          <c:layout>
            <c:manualLayout>
              <c:xMode val="edge"/>
              <c:yMode val="edge"/>
              <c:x val="3.7470725995316242E-2"/>
              <c:y val="0.29966436013680442"/>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77600384"/>
        <c:crosses val="autoZero"/>
        <c:crossBetween val="midCat"/>
      </c:valAx>
      <c:spPr>
        <a:noFill/>
        <a:ln w="12700">
          <a:solidFill>
            <a:srgbClr val="808080"/>
          </a:solidFill>
          <a:prstDash val="solid"/>
        </a:ln>
      </c:spPr>
    </c:plotArea>
    <c:legend>
      <c:legendPos val="b"/>
      <c:layout>
        <c:manualLayout>
          <c:xMode val="edge"/>
          <c:yMode val="edge"/>
          <c:x val="0.41686231843970573"/>
          <c:y val="0.89899272691923549"/>
          <c:w val="0.30444989458285315"/>
          <c:h val="7.7441430932245245E-2"/>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455" r="0.7500000000000045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Arial"/>
                <a:ea typeface="Arial"/>
                <a:cs typeface="Arial"/>
              </a:defRPr>
            </a:pPr>
            <a:r>
              <a:rPr lang="en-US"/>
              <a:t>Résidus</a:t>
            </a:r>
          </a:p>
        </c:rich>
      </c:tx>
      <c:layout>
        <c:manualLayout>
          <c:xMode val="edge"/>
          <c:yMode val="edge"/>
          <c:x val="0.43023304645058563"/>
          <c:y val="3.6666666666666681E-2"/>
        </c:manualLayout>
      </c:layout>
      <c:overlay val="0"/>
      <c:spPr>
        <a:noFill/>
        <a:ln w="25400">
          <a:noFill/>
        </a:ln>
      </c:spPr>
    </c:title>
    <c:autoTitleDeleted val="0"/>
    <c:plotArea>
      <c:layout>
        <c:manualLayout>
          <c:layoutTarget val="inner"/>
          <c:xMode val="edge"/>
          <c:yMode val="edge"/>
          <c:x val="0.14418621024051817"/>
          <c:y val="0.20000065104378587"/>
          <c:w val="0.79767532439513156"/>
          <c:h val="0.716668999573572"/>
        </c:manualLayout>
      </c:layout>
      <c:scatterChart>
        <c:scatterStyle val="lineMarker"/>
        <c:varyColors val="0"/>
        <c:ser>
          <c:idx val="0"/>
          <c:order val="0"/>
          <c:tx>
            <c:v>Residuals</c:v>
          </c:tx>
          <c:spPr>
            <a:ln w="12700">
              <a:solidFill>
                <a:srgbClr val="000080"/>
              </a:solidFill>
              <a:prstDash val="solid"/>
            </a:ln>
          </c:spPr>
          <c:marker>
            <c:symbol val="diamond"/>
            <c:size val="5"/>
            <c:spPr>
              <a:solidFill>
                <a:srgbClr val="000080"/>
              </a:solidFill>
              <a:ln>
                <a:solidFill>
                  <a:srgbClr val="000080"/>
                </a:solidFill>
                <a:prstDash val="solid"/>
              </a:ln>
            </c:spPr>
          </c:marker>
          <c:xVal>
            <c:numRef>
              <c:f>Méthode!$O$9:$O$24</c:f>
              <c:numCache>
                <c:formatCode>0.00000</c:formatCode>
                <c:ptCount val="16"/>
                <c:pt idx="0">
                  <c:v>1.3642358181645073E-2</c:v>
                </c:pt>
                <c:pt idx="1">
                  <c:v>1.5341326551281041E-2</c:v>
                </c:pt>
                <c:pt idx="2">
                  <c:v>1.7678617695273954E-2</c:v>
                </c:pt>
                <c:pt idx="3">
                  <c:v>2.0646703099865535E-2</c:v>
                </c:pt>
                <c:pt idx="4">
                  <c:v>2.3753123661601129E-2</c:v>
                </c:pt>
                <c:pt idx="5">
                  <c:v>2.6568905357313054E-2</c:v>
                </c:pt>
                <c:pt idx="6">
                  <c:v>2.9264092582440237E-2</c:v>
                </c:pt>
                <c:pt idx="7">
                  <c:v>3.2012514999195309E-2</c:v>
                </c:pt>
                <c:pt idx="8">
                  <c:v>3.579486635960151E-2</c:v>
                </c:pt>
                <c:pt idx="9">
                  <c:v>4.1002641902739272E-2</c:v>
                </c:pt>
                <c:pt idx="10">
                  <c:v>4.6914671150012362E-2</c:v>
                </c:pt>
                <c:pt idx="11">
                  <c:v>5.5133055993111038E-2</c:v>
                </c:pt>
                <c:pt idx="12">
                  <c:v>6.573311698940465E-2</c:v>
                </c:pt>
                <c:pt idx="13">
                  <c:v>8.0352182592064808E-2</c:v>
                </c:pt>
                <c:pt idx="14">
                  <c:v>9.8854107574242678E-2</c:v>
                </c:pt>
                <c:pt idx="15">
                  <c:v>0.12342409203535802</c:v>
                </c:pt>
              </c:numCache>
            </c:numRef>
          </c:xVal>
          <c:yVal>
            <c:numRef>
              <c:f>Méthode!$R$9:$R$24</c:f>
              <c:numCache>
                <c:formatCode>0.0000</c:formatCode>
                <c:ptCount val="16"/>
                <c:pt idx="0">
                  <c:v>-1.2454981538764093E-4</c:v>
                </c:pt>
                <c:pt idx="1">
                  <c:v>1.4258586212289644E-3</c:v>
                </c:pt>
                <c:pt idx="2">
                  <c:v>1.4583851998941667E-3</c:v>
                </c:pt>
                <c:pt idx="3">
                  <c:v>5.56339031221674E-4</c:v>
                </c:pt>
                <c:pt idx="4">
                  <c:v>-1.0544202271588025E-3</c:v>
                </c:pt>
                <c:pt idx="5">
                  <c:v>-8.4248262113216857E-4</c:v>
                </c:pt>
                <c:pt idx="6">
                  <c:v>2.6152367957867767E-4</c:v>
                </c:pt>
                <c:pt idx="7">
                  <c:v>9.6783871110444133E-4</c:v>
                </c:pt>
                <c:pt idx="8">
                  <c:v>-4.524178296303194E-4</c:v>
                </c:pt>
                <c:pt idx="9">
                  <c:v>-2.3826666243737596E-3</c:v>
                </c:pt>
                <c:pt idx="10">
                  <c:v>-1.999067582079378E-3</c:v>
                </c:pt>
                <c:pt idx="11">
                  <c:v>-1.6906705451888993E-3</c:v>
                </c:pt>
                <c:pt idx="12">
                  <c:v>7.4924135135061298E-4</c:v>
                </c:pt>
                <c:pt idx="13">
                  <c:v>3.0987929924606861E-3</c:v>
                </c:pt>
                <c:pt idx="14">
                  <c:v>2.8878865069186938E-3</c:v>
                </c:pt>
                <c:pt idx="15">
                  <c:v>-2.8595908488071031E-3</c:v>
                </c:pt>
              </c:numCache>
            </c:numRef>
          </c:yVal>
          <c:smooth val="0"/>
        </c:ser>
        <c:dLbls>
          <c:showLegendKey val="0"/>
          <c:showVal val="0"/>
          <c:showCatName val="0"/>
          <c:showSerName val="0"/>
          <c:showPercent val="0"/>
          <c:showBubbleSize val="0"/>
        </c:dLbls>
        <c:axId val="177442176"/>
        <c:axId val="177468928"/>
      </c:scatterChart>
      <c:valAx>
        <c:axId val="177442176"/>
        <c:scaling>
          <c:orientation val="minMax"/>
        </c:scaling>
        <c:delete val="0"/>
        <c:axPos val="b"/>
        <c:numFmt formatCode="0.000" sourceLinked="0"/>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177468928"/>
        <c:crosses val="autoZero"/>
        <c:crossBetween val="midCat"/>
      </c:valAx>
      <c:valAx>
        <c:axId val="177468928"/>
        <c:scaling>
          <c:orientation val="minMax"/>
        </c:scaling>
        <c:delete val="0"/>
        <c:axPos val="l"/>
        <c:majorGridlines>
          <c:spPr>
            <a:ln w="3175">
              <a:solidFill>
                <a:srgbClr val="00000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77442176"/>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455" r="0.7500000000000045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4349404954521"/>
          <c:y val="5.9548314325103414E-2"/>
          <c:w val="0.72789486930572089"/>
          <c:h val="0.71826785676723626"/>
        </c:manualLayout>
      </c:layout>
      <c:scatterChart>
        <c:scatterStyle val="lineMarker"/>
        <c:varyColors val="0"/>
        <c:ser>
          <c:idx val="0"/>
          <c:order val="0"/>
          <c:tx>
            <c:strRef>
              <c:f>'Taux de mortalité'!$J$5</c:f>
              <c:strCache>
                <c:ptCount val="1"/>
                <c:pt idx="0">
                  <c:v>Obs. Y(x)</c:v>
                </c:pt>
              </c:strCache>
            </c:strRef>
          </c:tx>
          <c:spPr>
            <a:ln w="28575">
              <a:noFill/>
            </a:ln>
          </c:spPr>
          <c:marker>
            <c:symbol val="diamond"/>
            <c:size val="5"/>
            <c:spPr>
              <a:solidFill>
                <a:srgbClr val="000080"/>
              </a:solidFill>
              <a:ln>
                <a:solidFill>
                  <a:srgbClr val="000080"/>
                </a:solidFill>
                <a:prstDash val="solid"/>
              </a:ln>
            </c:spPr>
          </c:marker>
          <c:xVal>
            <c:numRef>
              <c:f>'Taux de mortalité'!$L$9:$L$25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'Taux de mortalité'!$J$9:$J$25</c:f>
              <c:numCache>
                <c:formatCode>0.0000_)</c:formatCode>
                <c:ptCount val="17"/>
                <c:pt idx="0">
                  <c:v>-2.3388498933690314</c:v>
                </c:pt>
                <c:pt idx="1">
                  <c:v>-2.0637851766105575</c:v>
                </c:pt>
                <c:pt idx="2">
                  <c:v>-1.7219478714409417</c:v>
                </c:pt>
                <c:pt idx="3">
                  <c:v>-1.3451072676966076</c:v>
                </c:pt>
                <c:pt idx="4">
                  <c:v>-0.9869792816932802</c:v>
                </c:pt>
                <c:pt idx="5">
                  <c:v>-0.70409253699614871</c:v>
                </c:pt>
                <c:pt idx="6">
                  <c:v>-0.47464011847384574</c:v>
                </c:pt>
                <c:pt idx="7">
                  <c:v>-0.29711275222015143</c:v>
                </c:pt>
                <c:pt idx="8">
                  <c:v>-0.14602596648810623</c:v>
                </c:pt>
                <c:pt idx="9">
                  <c:v>1.117467508383029E-2</c:v>
                </c:pt>
                <c:pt idx="10">
                  <c:v>0.15833180276930856</c:v>
                </c:pt>
                <c:pt idx="11">
                  <c:v>0.31435795967788815</c:v>
                </c:pt>
                <c:pt idx="12">
                  <c:v>0.48624353883518762</c:v>
                </c:pt>
                <c:pt idx="13">
                  <c:v>0.69224076136971646</c:v>
                </c:pt>
                <c:pt idx="14">
                  <c:v>0.93896466417381652</c:v>
                </c:pt>
                <c:pt idx="15">
                  <c:v>1.2338389993588503</c:v>
                </c:pt>
                <c:pt idx="16">
                  <c:v>#N/A</c:v>
                </c:pt>
              </c:numCache>
            </c:numRef>
          </c:yVal>
          <c:smooth val="0"/>
        </c:ser>
        <c:ser>
          <c:idx val="1"/>
          <c:order val="1"/>
          <c:tx>
            <c:strRef>
              <c:f>'Taux de mortalité'!$M$5</c:f>
              <c:strCache>
                <c:ptCount val="1"/>
                <c:pt idx="0">
                  <c:v>Lissé Y(x)</c:v>
                </c:pt>
              </c:strCache>
            </c:strRef>
          </c:tx>
          <c:spPr>
            <a:ln w="12700">
              <a:solidFill>
                <a:srgbClr val="FF00FF"/>
              </a:solidFill>
              <a:prstDash val="solid"/>
            </a:ln>
          </c:spPr>
          <c:marker>
            <c:symbol val="none"/>
          </c:marker>
          <c:xVal>
            <c:numRef>
              <c:f>'Taux de mortalité'!$L$9:$L$25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'Taux de mortalité'!$M$9:$M$25</c:f>
              <c:numCache>
                <c:formatCode>0.0000_)</c:formatCode>
                <c:ptCount val="17"/>
                <c:pt idx="0">
                  <c:v>-1.918370082823698</c:v>
                </c:pt>
                <c:pt idx="1">
                  <c:v>-1.6048153015297855</c:v>
                </c:pt>
                <c:pt idx="2">
                  <c:v>-1.4371615812545477</c:v>
                </c:pt>
                <c:pt idx="3">
                  <c:v>-1.2399424952238607</c:v>
                </c:pt>
                <c:pt idx="4">
                  <c:v>-0.97792343505276402</c:v>
                </c:pt>
                <c:pt idx="5">
                  <c:v>-0.69872364740246251</c:v>
                </c:pt>
                <c:pt idx="6">
                  <c:v>-0.46497763396441794</c:v>
                </c:pt>
                <c:pt idx="7">
                  <c:v>-0.26949358557299596</c:v>
                </c:pt>
                <c:pt idx="8">
                  <c:v>-0.11407314825083298</c:v>
                </c:pt>
                <c:pt idx="9">
                  <c:v>1.1240688829116885E-2</c:v>
                </c:pt>
                <c:pt idx="10">
                  <c:v>0.13216054021644646</c:v>
                </c:pt>
                <c:pt idx="11">
                  <c:v>0.27185995050861361</c:v>
                </c:pt>
                <c:pt idx="12">
                  <c:v>0.45595294682942578</c:v>
                </c:pt>
                <c:pt idx="13">
                  <c:v>0.68792122707097669</c:v>
                </c:pt>
                <c:pt idx="14">
                  <c:v>0.98260606357073932</c:v>
                </c:pt>
                <c:pt idx="15">
                  <c:v>1.386806292774986</c:v>
                </c:pt>
                <c:pt idx="16">
                  <c:v>1.9583453350172704</c:v>
                </c:pt>
              </c:numCache>
            </c:numRef>
          </c:yVal>
          <c:smooth val="0"/>
        </c:ser>
        <c:dLbls>
          <c:showLegendKey val="0"/>
          <c:showVal val="0"/>
          <c:showCatName val="0"/>
          <c:showSerName val="0"/>
          <c:showPercent val="0"/>
          <c:showBubbleSize val="0"/>
        </c:dLbls>
        <c:axId val="196421888"/>
        <c:axId val="196432256"/>
      </c:scatterChart>
      <c:valAx>
        <c:axId val="19642188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ZA" sz="1500" b="1" i="0" u="none" strike="noStrike" baseline="0">
                    <a:solidFill>
                      <a:srgbClr val="000000"/>
                    </a:solidFill>
                    <a:latin typeface="Times New Roman"/>
                    <a:cs typeface="Times New Roman"/>
                  </a:rPr>
                  <a:t>Y</a:t>
                </a:r>
                <a:r>
                  <a:rPr lang="en-ZA" sz="1500" b="1" i="0" u="none" strike="noStrike" baseline="-25000">
                    <a:solidFill>
                      <a:srgbClr val="000000"/>
                    </a:solidFill>
                    <a:latin typeface="Times New Roman"/>
                    <a:cs typeface="Times New Roman"/>
                  </a:rPr>
                  <a:t>s</a:t>
                </a:r>
                <a:r>
                  <a:rPr lang="en-ZA" sz="1500" b="1" i="0" u="none" strike="noStrike" baseline="0">
                    <a:solidFill>
                      <a:srgbClr val="000000"/>
                    </a:solidFill>
                    <a:latin typeface="Times New Roman"/>
                    <a:cs typeface="Times New Roman"/>
                  </a:rPr>
                  <a:t>(x)</a:t>
                </a:r>
              </a:p>
            </c:rich>
          </c:tx>
          <c:layout>
            <c:manualLayout>
              <c:xMode val="edge"/>
              <c:yMode val="edge"/>
              <c:x val="0.4382357171107038"/>
              <c:y val="0.85643011898668497"/>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96432256"/>
        <c:crossesAt val="0"/>
        <c:crossBetween val="midCat"/>
      </c:valAx>
      <c:valAx>
        <c:axId val="196432256"/>
        <c:scaling>
          <c:orientation val="minMax"/>
        </c:scaling>
        <c:delete val="0"/>
        <c:axPos val="l"/>
        <c:title>
          <c:tx>
            <c:rich>
              <a:bodyPr/>
              <a:lstStyle/>
              <a:p>
                <a:pPr>
                  <a:defRPr sz="1500" b="1" i="0" u="none" strike="noStrike" baseline="0">
                    <a:solidFill>
                      <a:srgbClr val="000000"/>
                    </a:solidFill>
                    <a:latin typeface="Times New Roman"/>
                    <a:ea typeface="Times New Roman"/>
                    <a:cs typeface="Times New Roman"/>
                  </a:defRPr>
                </a:pPr>
                <a:r>
                  <a:rPr lang="en-ZA"/>
                  <a:t>Y(x)</a:t>
                </a:r>
              </a:p>
            </c:rich>
          </c:tx>
          <c:layout>
            <c:manualLayout>
              <c:xMode val="edge"/>
              <c:yMode val="edge"/>
              <c:x val="1.6666666666666701E-2"/>
              <c:y val="0.37987722787218664"/>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96421888"/>
        <c:crossesAt val="0"/>
        <c:crossBetween val="midCat"/>
      </c:valAx>
      <c:spPr>
        <a:noFill/>
        <a:ln w="25400">
          <a:noFill/>
        </a:ln>
      </c:spPr>
    </c:plotArea>
    <c:legend>
      <c:legendPos val="b"/>
      <c:layout>
        <c:manualLayout>
          <c:xMode val="edge"/>
          <c:yMode val="edge"/>
          <c:x val="0.34117677937317048"/>
          <c:y val="0.92402550297229269"/>
          <c:w val="0.23823549997426982"/>
          <c:h val="5.9548254620123413E-2"/>
        </c:manualLayout>
      </c:layout>
      <c:overlay val="0"/>
      <c:spPr>
        <a:noFill/>
        <a:ln w="25400">
          <a:noFill/>
        </a:ln>
      </c:spPr>
      <c:txPr>
        <a:bodyPr/>
        <a:lstStyle/>
        <a:p>
          <a:pPr>
            <a:defRPr sz="108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66" r="0.75000000000000466"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67021560228218"/>
          <c:y val="4.4768224536449408E-2"/>
          <c:w val="0.63851371287392689"/>
          <c:h val="0.82426054102108159"/>
        </c:manualLayout>
      </c:layout>
      <c:scatterChart>
        <c:scatterStyle val="lineMarker"/>
        <c:varyColors val="0"/>
        <c:ser>
          <c:idx val="1"/>
          <c:order val="0"/>
          <c:tx>
            <c:v>Taux corrigés lissés</c:v>
          </c:tx>
          <c:spPr>
            <a:ln w="15875">
              <a:solidFill>
                <a:srgbClr val="FF00FF"/>
              </a:solidFill>
            </a:ln>
          </c:spPr>
          <c:marker>
            <c:symbol val="none"/>
          </c:marker>
          <c:xVal>
            <c:numRef>
              <c:f>'Taux de mortalité'!$R$8:$R$24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'Taux de mortalité'!$Q$8:$Q$24</c:f>
              <c:numCache>
                <c:formatCode>0.0000</c:formatCode>
                <c:ptCount val="17"/>
                <c:pt idx="0">
                  <c:v>4.2667525903266057E-3</c:v>
                </c:pt>
                <c:pt idx="1">
                  <c:v>3.6485611047613513E-3</c:v>
                </c:pt>
                <c:pt idx="2">
                  <c:v>3.0680303317786534E-3</c:v>
                </c:pt>
                <c:pt idx="3">
                  <c:v>5.1020332051858672E-3</c:v>
                </c:pt>
                <c:pt idx="4">
                  <c:v>1.0370636018074168E-2</c:v>
                </c:pt>
                <c:pt idx="5">
                  <c:v>1.7714047172122493E-2</c:v>
                </c:pt>
                <c:pt idx="6">
                  <c:v>2.230966457074033E-2</c:v>
                </c:pt>
                <c:pt idx="7">
                  <c:v>2.5355690004300761E-2</c:v>
                </c:pt>
                <c:pt idx="8">
                  <c:v>2.5172798101631963E-2</c:v>
                </c:pt>
                <c:pt idx="9">
                  <c:v>2.3748981630496685E-2</c:v>
                </c:pt>
                <c:pt idx="10">
                  <c:v>2.5876725827184189E-2</c:v>
                </c:pt>
                <c:pt idx="11">
                  <c:v>3.3421697833674532E-2</c:v>
                </c:pt>
                <c:pt idx="12">
                  <c:v>4.9370633012750971E-2</c:v>
                </c:pt>
                <c:pt idx="13">
                  <c:v>6.9575759215755942E-2</c:v>
                </c:pt>
                <c:pt idx="14">
                  <c:v>9.7076926357638746E-2</c:v>
                </c:pt>
                <c:pt idx="15">
                  <c:v>0.14121621658512112</c:v>
                </c:pt>
                <c:pt idx="16">
                  <c:v>0.20054141329249389</c:v>
                </c:pt>
              </c:numCache>
            </c:numRef>
          </c:yVal>
          <c:smooth val="0"/>
        </c:ser>
        <c:ser>
          <c:idx val="0"/>
          <c:order val="1"/>
          <c:tx>
            <c:v>Taux observés corrigés</c:v>
          </c:tx>
          <c:spPr>
            <a:ln>
              <a:noFill/>
            </a:ln>
          </c:spPr>
          <c:marker>
            <c:symbol val="diamond"/>
            <c:size val="5"/>
            <c:spPr>
              <a:solidFill>
                <a:schemeClr val="tx2"/>
              </a:solidFill>
              <a:ln>
                <a:solidFill>
                  <a:schemeClr val="tx2"/>
                </a:solidFill>
              </a:ln>
            </c:spPr>
          </c:marker>
          <c:xVal>
            <c:numRef>
              <c:f>'Taux de mortalité'!$R$8:$R$24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'Taux de mortalité'!$F$8:$F$24</c:f>
              <c:numCache>
                <c:formatCode>0.0000</c:formatCode>
                <c:ptCount val="17"/>
                <c:pt idx="0">
                  <c:v>1.8514667586383704E-3</c:v>
                </c:pt>
                <c:pt idx="1">
                  <c:v>1.347199465121896E-3</c:v>
                </c:pt>
                <c:pt idx="2">
                  <c:v>3.0893616313823614E-3</c:v>
                </c:pt>
                <c:pt idx="3">
                  <c:v>6.8437481984243943E-3</c:v>
                </c:pt>
                <c:pt idx="4">
                  <c:v>1.2876638212304803E-2</c:v>
                </c:pt>
                <c:pt idx="5">
                  <c:v>1.7735466859261823E-2</c:v>
                </c:pt>
                <c:pt idx="6">
                  <c:v>2.1649545302361177E-2</c:v>
                </c:pt>
                <c:pt idx="7">
                  <c:v>2.2452521391541937E-2</c:v>
                </c:pt>
                <c:pt idx="8">
                  <c:v>2.3613990942485209E-2</c:v>
                </c:pt>
                <c:pt idx="9">
                  <c:v>2.9275352374569623E-2</c:v>
                </c:pt>
                <c:pt idx="10">
                  <c:v>3.1847874893409955E-2</c:v>
                </c:pt>
                <c:pt idx="11">
                  <c:v>3.8314410531446984E-2</c:v>
                </c:pt>
                <c:pt idx="12">
                  <c:v>4.7199138665601353E-2</c:v>
                </c:pt>
                <c:pt idx="13">
                  <c:v>6.2438341483481832E-2</c:v>
                </c:pt>
                <c:pt idx="14">
                  <c:v>8.129749296367636E-2</c:v>
                </c:pt>
                <c:pt idx="15">
                  <c:v>0.10337023839082772</c:v>
                </c:pt>
                <c:pt idx="16">
                  <c:v>0.18536523880637276</c:v>
                </c:pt>
              </c:numCache>
            </c:numRef>
          </c:yVal>
          <c:smooth val="0"/>
        </c:ser>
        <c:dLbls>
          <c:showLegendKey val="0"/>
          <c:showVal val="0"/>
          <c:showCatName val="0"/>
          <c:showSerName val="0"/>
          <c:showPercent val="0"/>
          <c:showBubbleSize val="0"/>
        </c:dLbls>
        <c:axId val="196469504"/>
        <c:axId val="196471424"/>
      </c:scatterChart>
      <c:valAx>
        <c:axId val="196469504"/>
        <c:scaling>
          <c:orientation val="minMax"/>
          <c:max val="85"/>
          <c:min val="0"/>
        </c:scaling>
        <c:delete val="0"/>
        <c:axPos val="b"/>
        <c:numFmt formatCode="General" sourceLinked="1"/>
        <c:majorTickMark val="out"/>
        <c:minorTickMark val="none"/>
        <c:tickLblPos val="nextTo"/>
        <c:crossAx val="196471424"/>
        <c:crosses val="autoZero"/>
        <c:crossBetween val="midCat"/>
      </c:valAx>
      <c:valAx>
        <c:axId val="196471424"/>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196469504"/>
        <c:crosses val="autoZero"/>
        <c:crossBetween val="midCat"/>
      </c:valAx>
    </c:plotArea>
    <c:legend>
      <c:legendPos val="r"/>
      <c:layout>
        <c:manualLayout>
          <c:xMode val="edge"/>
          <c:yMode val="edge"/>
          <c:x val="0.77007891790050265"/>
          <c:y val="0.42708502667005332"/>
          <c:w val="0.21637706404080981"/>
          <c:h val="0.34692772598827476"/>
        </c:manualLayout>
      </c:layout>
      <c:overlay val="0"/>
      <c:spPr>
        <a:solidFill>
          <a:srgbClr val="FFEB9B"/>
        </a:solidFill>
      </c:sp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403"/>
          <c:y val="0.15722823340825595"/>
          <c:w val="0.75212009351544573"/>
          <c:h val="0.63414005192270861"/>
        </c:manualLayout>
      </c:layout>
      <c:scatterChart>
        <c:scatterStyle val="lineMarker"/>
        <c:varyColors val="0"/>
        <c:ser>
          <c:idx val="0"/>
          <c:order val="0"/>
          <c:tx>
            <c:v>Observations</c:v>
          </c:tx>
          <c:spPr>
            <a:ln>
              <a:noFill/>
            </a:ln>
          </c:spPr>
          <c:marker>
            <c:symbol val="square"/>
            <c:size val="5"/>
          </c:marker>
          <c:xVal>
            <c:numRef>
              <c:f>Méthode!$O$8:$O$24</c:f>
              <c:numCache>
                <c:formatCode>0.00000</c:formatCode>
                <c:ptCount val="17"/>
                <c:pt idx="0">
                  <c:v>0</c:v>
                </c:pt>
                <c:pt idx="1">
                  <c:v>1.3642358181645073E-2</c:v>
                </c:pt>
                <c:pt idx="2">
                  <c:v>1.5341326551281041E-2</c:v>
                </c:pt>
                <c:pt idx="3">
                  <c:v>1.7678617695273954E-2</c:v>
                </c:pt>
                <c:pt idx="4">
                  <c:v>2.0646703099865535E-2</c:v>
                </c:pt>
                <c:pt idx="5">
                  <c:v>2.3753123661601129E-2</c:v>
                </c:pt>
                <c:pt idx="6">
                  <c:v>2.6568905357313054E-2</c:v>
                </c:pt>
                <c:pt idx="7">
                  <c:v>2.9264092582440237E-2</c:v>
                </c:pt>
                <c:pt idx="8">
                  <c:v>3.2012514999195309E-2</c:v>
                </c:pt>
                <c:pt idx="9">
                  <c:v>3.579486635960151E-2</c:v>
                </c:pt>
                <c:pt idx="10">
                  <c:v>4.1002641902739272E-2</c:v>
                </c:pt>
                <c:pt idx="11">
                  <c:v>4.6914671150012362E-2</c:v>
                </c:pt>
                <c:pt idx="12">
                  <c:v>5.5133055993111038E-2</c:v>
                </c:pt>
                <c:pt idx="13">
                  <c:v>6.573311698940465E-2</c:v>
                </c:pt>
                <c:pt idx="14">
                  <c:v>8.0352182592064808E-2</c:v>
                </c:pt>
                <c:pt idx="15">
                  <c:v>9.8854107574242678E-2</c:v>
                </c:pt>
                <c:pt idx="16">
                  <c:v>0.12342409203535802</c:v>
                </c:pt>
              </c:numCache>
            </c:numRef>
          </c:xVal>
          <c:yVal>
            <c:numRef>
              <c:f>Méthode!$P$8:$P$24</c:f>
              <c:numCache>
                <c:formatCode>0.00000</c:formatCode>
                <c:ptCount val="17"/>
                <c:pt idx="1">
                  <c:v>9.7189236334262498E-3</c:v>
                </c:pt>
                <c:pt idx="2">
                  <c:v>1.3119539228598152E-2</c:v>
                </c:pt>
                <c:pt idx="3">
                  <c:v>1.5697417965391036E-2</c:v>
                </c:pt>
                <c:pt idx="4">
                  <c:v>1.8027670267322497E-2</c:v>
                </c:pt>
                <c:pt idx="5">
                  <c:v>1.9799858957548065E-2</c:v>
                </c:pt>
                <c:pt idx="6">
                  <c:v>2.3078233551716777E-2</c:v>
                </c:pt>
                <c:pt idx="7">
                  <c:v>2.7117347289798907E-2</c:v>
                </c:pt>
                <c:pt idx="8">
                  <c:v>3.0816743841320039E-2</c:v>
                </c:pt>
                <c:pt idx="9">
                  <c:v>3.3515536064685797E-2</c:v>
                </c:pt>
                <c:pt idx="10">
                  <c:v>3.7256648645626611E-2</c:v>
                </c:pt>
                <c:pt idx="11">
                  <c:v>4.4078554033339712E-2</c:v>
                </c:pt>
                <c:pt idx="12">
                  <c:v>5.3336920204571155E-2</c:v>
                </c:pt>
                <c:pt idx="13">
                  <c:v>6.7320489468120664E-2</c:v>
                </c:pt>
                <c:pt idx="14">
                  <c:v>8.5590466888097266E-2</c:v>
                </c:pt>
                <c:pt idx="15">
                  <c:v>0.10552848998881555</c:v>
                </c:pt>
                <c:pt idx="16">
                  <c:v>0.12653816829767017</c:v>
                </c:pt>
              </c:numCache>
            </c:numRef>
          </c:yVal>
          <c:smooth val="0"/>
        </c:ser>
        <c:ser>
          <c:idx val="1"/>
          <c:order val="1"/>
          <c:tx>
            <c:v>Ajustement</c:v>
          </c:tx>
          <c:spPr>
            <a:ln>
              <a:solidFill>
                <a:srgbClr val="FF66FF"/>
              </a:solidFill>
              <a:prstDash val="solid"/>
            </a:ln>
          </c:spPr>
          <c:marker>
            <c:symbol val="none"/>
          </c:marker>
          <c:xVal>
            <c:numRef>
              <c:f>Méthode!$O$8:$O$24</c:f>
              <c:numCache>
                <c:formatCode>0.00000</c:formatCode>
                <c:ptCount val="17"/>
                <c:pt idx="0">
                  <c:v>0</c:v>
                </c:pt>
                <c:pt idx="1">
                  <c:v>1.3642358181645073E-2</c:v>
                </c:pt>
                <c:pt idx="2">
                  <c:v>1.5341326551281041E-2</c:v>
                </c:pt>
                <c:pt idx="3">
                  <c:v>1.7678617695273954E-2</c:v>
                </c:pt>
                <c:pt idx="4">
                  <c:v>2.0646703099865535E-2</c:v>
                </c:pt>
                <c:pt idx="5">
                  <c:v>2.3753123661601129E-2</c:v>
                </c:pt>
                <c:pt idx="6">
                  <c:v>2.6568905357313054E-2</c:v>
                </c:pt>
                <c:pt idx="7">
                  <c:v>2.9264092582440237E-2</c:v>
                </c:pt>
                <c:pt idx="8">
                  <c:v>3.2012514999195309E-2</c:v>
                </c:pt>
                <c:pt idx="9">
                  <c:v>3.579486635960151E-2</c:v>
                </c:pt>
                <c:pt idx="10">
                  <c:v>4.1002641902739272E-2</c:v>
                </c:pt>
                <c:pt idx="11">
                  <c:v>4.6914671150012362E-2</c:v>
                </c:pt>
                <c:pt idx="12">
                  <c:v>5.5133055993111038E-2</c:v>
                </c:pt>
                <c:pt idx="13">
                  <c:v>6.573311698940465E-2</c:v>
                </c:pt>
                <c:pt idx="14">
                  <c:v>8.0352182592064808E-2</c:v>
                </c:pt>
                <c:pt idx="15">
                  <c:v>9.8854107574242678E-2</c:v>
                </c:pt>
                <c:pt idx="16">
                  <c:v>0.12342409203535802</c:v>
                </c:pt>
              </c:numCache>
            </c:numRef>
          </c:xVal>
          <c:yVal>
            <c:numRef>
              <c:f>Méthode!$Q$8:$Q$24</c:f>
              <c:numCache>
                <c:formatCode>0.0000</c:formatCode>
                <c:ptCount val="17"/>
                <c:pt idx="0">
                  <c:v>-5.0133003548464145E-3</c:v>
                </c:pt>
                <c:pt idx="1">
                  <c:v>9.8434734488138907E-3</c:v>
                </c:pt>
                <c:pt idx="2">
                  <c:v>1.1693680607369188E-2</c:v>
                </c:pt>
                <c:pt idx="3">
                  <c:v>1.4239032765496869E-2</c:v>
                </c:pt>
                <c:pt idx="4">
                  <c:v>1.7471331236100823E-2</c:v>
                </c:pt>
                <c:pt idx="5">
                  <c:v>2.0854279184706868E-2</c:v>
                </c:pt>
                <c:pt idx="6">
                  <c:v>2.3920716172848945E-2</c:v>
                </c:pt>
                <c:pt idx="7">
                  <c:v>2.6855823610220229E-2</c:v>
                </c:pt>
                <c:pt idx="8">
                  <c:v>2.9848905130215597E-2</c:v>
                </c:pt>
                <c:pt idx="9">
                  <c:v>3.3967953894316116E-2</c:v>
                </c:pt>
                <c:pt idx="10">
                  <c:v>3.9639315270000371E-2</c:v>
                </c:pt>
                <c:pt idx="11">
                  <c:v>4.607762161541909E-2</c:v>
                </c:pt>
                <c:pt idx="12">
                  <c:v>5.5027590749760054E-2</c:v>
                </c:pt>
                <c:pt idx="13">
                  <c:v>6.6571248116770051E-2</c:v>
                </c:pt>
                <c:pt idx="14">
                  <c:v>8.249167389563658E-2</c:v>
                </c:pt>
                <c:pt idx="15">
                  <c:v>0.10264060348189685</c:v>
                </c:pt>
                <c:pt idx="16">
                  <c:v>0.12939775914647728</c:v>
                </c:pt>
              </c:numCache>
            </c:numRef>
          </c:yVal>
          <c:smooth val="0"/>
        </c:ser>
        <c:dLbls>
          <c:showLegendKey val="0"/>
          <c:showVal val="0"/>
          <c:showCatName val="0"/>
          <c:showSerName val="0"/>
          <c:showPercent val="0"/>
          <c:showBubbleSize val="0"/>
        </c:dLbls>
        <c:axId val="196190208"/>
        <c:axId val="196192128"/>
      </c:scatterChart>
      <c:valAx>
        <c:axId val="196190208"/>
        <c:scaling>
          <c:orientation val="minMax"/>
        </c:scaling>
        <c:delete val="0"/>
        <c:axPos val="b"/>
        <c:title>
          <c:tx>
            <c:rich>
              <a:bodyPr/>
              <a:lstStyle/>
              <a:p>
                <a:pPr>
                  <a:defRPr/>
                </a:pPr>
                <a:r>
                  <a:rPr lang="en-US"/>
                  <a:t>d(x+)</a:t>
                </a:r>
              </a:p>
            </c:rich>
          </c:tx>
          <c:overlay val="0"/>
        </c:title>
        <c:numFmt formatCode="0.000" sourceLinked="0"/>
        <c:majorTickMark val="out"/>
        <c:minorTickMark val="none"/>
        <c:tickLblPos val="nextTo"/>
        <c:crossAx val="196192128"/>
        <c:crosses val="autoZero"/>
        <c:crossBetween val="midCat"/>
        <c:majorUnit val="2.0000000000000011E-2"/>
      </c:valAx>
      <c:valAx>
        <c:axId val="196192128"/>
        <c:scaling>
          <c:orientation val="minMax"/>
        </c:scaling>
        <c:delete val="0"/>
        <c:axPos val="l"/>
        <c:majorGridlines/>
        <c:title>
          <c:tx>
            <c:rich>
              <a:bodyPr rot="-5400000" vert="horz"/>
              <a:lstStyle/>
              <a:p>
                <a:pPr>
                  <a:defRPr/>
                </a:pPr>
                <a:r>
                  <a:rPr lang="en-US"/>
                  <a:t>n(x+)-r(x+)+i(x+)</a:t>
                </a:r>
              </a:p>
            </c:rich>
          </c:tx>
          <c:overlay val="0"/>
        </c:title>
        <c:numFmt formatCode="0.000" sourceLinked="0"/>
        <c:majorTickMark val="out"/>
        <c:minorTickMark val="none"/>
        <c:tickLblPos val="nextTo"/>
        <c:crossAx val="196190208"/>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Résidus</a:t>
            </a:r>
          </a:p>
        </c:rich>
      </c:tx>
      <c:overlay val="0"/>
    </c:title>
    <c:autoTitleDeleted val="0"/>
    <c:plotArea>
      <c:layout>
        <c:manualLayout>
          <c:layoutTarget val="inner"/>
          <c:xMode val="edge"/>
          <c:yMode val="edge"/>
          <c:x val="0.18942229605020414"/>
          <c:y val="0.15722823340825601"/>
          <c:w val="0.75212009351544595"/>
          <c:h val="0.63414005192270861"/>
        </c:manualLayout>
      </c:layout>
      <c:scatterChart>
        <c:scatterStyle val="lineMarker"/>
        <c:varyColors val="0"/>
        <c:ser>
          <c:idx val="0"/>
          <c:order val="0"/>
          <c:tx>
            <c:v>Residuals</c:v>
          </c:tx>
          <c:spPr>
            <a:ln>
              <a:solidFill>
                <a:srgbClr val="0070C0"/>
              </a:solidFill>
            </a:ln>
          </c:spPr>
          <c:marker>
            <c:symbol val="square"/>
            <c:size val="5"/>
          </c:marker>
          <c:xVal>
            <c:numRef>
              <c:f>Méthode!$O$9:$O$24</c:f>
              <c:numCache>
                <c:formatCode>0.00000</c:formatCode>
                <c:ptCount val="16"/>
                <c:pt idx="0">
                  <c:v>1.3642358181645073E-2</c:v>
                </c:pt>
                <c:pt idx="1">
                  <c:v>1.5341326551281041E-2</c:v>
                </c:pt>
                <c:pt idx="2">
                  <c:v>1.7678617695273954E-2</c:v>
                </c:pt>
                <c:pt idx="3">
                  <c:v>2.0646703099865535E-2</c:v>
                </c:pt>
                <c:pt idx="4">
                  <c:v>2.3753123661601129E-2</c:v>
                </c:pt>
                <c:pt idx="5">
                  <c:v>2.6568905357313054E-2</c:v>
                </c:pt>
                <c:pt idx="6">
                  <c:v>2.9264092582440237E-2</c:v>
                </c:pt>
                <c:pt idx="7">
                  <c:v>3.2012514999195309E-2</c:v>
                </c:pt>
                <c:pt idx="8">
                  <c:v>3.579486635960151E-2</c:v>
                </c:pt>
                <c:pt idx="9">
                  <c:v>4.1002641902739272E-2</c:v>
                </c:pt>
                <c:pt idx="10">
                  <c:v>4.6914671150012362E-2</c:v>
                </c:pt>
                <c:pt idx="11">
                  <c:v>5.5133055993111038E-2</c:v>
                </c:pt>
                <c:pt idx="12">
                  <c:v>6.573311698940465E-2</c:v>
                </c:pt>
                <c:pt idx="13">
                  <c:v>8.0352182592064808E-2</c:v>
                </c:pt>
                <c:pt idx="14">
                  <c:v>9.8854107574242678E-2</c:v>
                </c:pt>
                <c:pt idx="15">
                  <c:v>0.12342409203535802</c:v>
                </c:pt>
              </c:numCache>
            </c:numRef>
          </c:xVal>
          <c:yVal>
            <c:numRef>
              <c:f>Méthode!$R$9:$R$24</c:f>
              <c:numCache>
                <c:formatCode>0.0000</c:formatCode>
                <c:ptCount val="16"/>
                <c:pt idx="0">
                  <c:v>-1.2454981538764093E-4</c:v>
                </c:pt>
                <c:pt idx="1">
                  <c:v>1.4258586212289644E-3</c:v>
                </c:pt>
                <c:pt idx="2">
                  <c:v>1.4583851998941667E-3</c:v>
                </c:pt>
                <c:pt idx="3">
                  <c:v>5.56339031221674E-4</c:v>
                </c:pt>
                <c:pt idx="4">
                  <c:v>-1.0544202271588025E-3</c:v>
                </c:pt>
                <c:pt idx="5">
                  <c:v>-8.4248262113216857E-4</c:v>
                </c:pt>
                <c:pt idx="6">
                  <c:v>2.6152367957867767E-4</c:v>
                </c:pt>
                <c:pt idx="7">
                  <c:v>9.6783871110444133E-4</c:v>
                </c:pt>
                <c:pt idx="8">
                  <c:v>-4.524178296303194E-4</c:v>
                </c:pt>
                <c:pt idx="9">
                  <c:v>-2.3826666243737596E-3</c:v>
                </c:pt>
                <c:pt idx="10">
                  <c:v>-1.999067582079378E-3</c:v>
                </c:pt>
                <c:pt idx="11">
                  <c:v>-1.6906705451888993E-3</c:v>
                </c:pt>
                <c:pt idx="12">
                  <c:v>7.4924135135061298E-4</c:v>
                </c:pt>
                <c:pt idx="13">
                  <c:v>3.0987929924606861E-3</c:v>
                </c:pt>
                <c:pt idx="14">
                  <c:v>2.8878865069186938E-3</c:v>
                </c:pt>
                <c:pt idx="15">
                  <c:v>-2.8595908488071031E-3</c:v>
                </c:pt>
              </c:numCache>
            </c:numRef>
          </c:yVal>
          <c:smooth val="0"/>
        </c:ser>
        <c:dLbls>
          <c:showLegendKey val="0"/>
          <c:showVal val="0"/>
          <c:showCatName val="0"/>
          <c:showSerName val="0"/>
          <c:showPercent val="0"/>
          <c:showBubbleSize val="0"/>
        </c:dLbls>
        <c:axId val="196227072"/>
        <c:axId val="196228992"/>
      </c:scatterChart>
      <c:valAx>
        <c:axId val="196227072"/>
        <c:scaling>
          <c:orientation val="minMax"/>
        </c:scaling>
        <c:delete val="0"/>
        <c:axPos val="b"/>
        <c:title>
          <c:tx>
            <c:rich>
              <a:bodyPr/>
              <a:lstStyle/>
              <a:p>
                <a:pPr>
                  <a:defRPr/>
                </a:pPr>
                <a:r>
                  <a:rPr lang="en-US"/>
                  <a:t>d(x+)</a:t>
                </a:r>
              </a:p>
            </c:rich>
          </c:tx>
          <c:overlay val="0"/>
        </c:title>
        <c:numFmt formatCode="0.000" sourceLinked="0"/>
        <c:majorTickMark val="out"/>
        <c:minorTickMark val="none"/>
        <c:tickLblPos val="nextTo"/>
        <c:crossAx val="196228992"/>
        <c:crosses val="autoZero"/>
        <c:crossBetween val="midCat"/>
        <c:majorUnit val="2.0000000000000011E-2"/>
      </c:valAx>
      <c:valAx>
        <c:axId val="196228992"/>
        <c:scaling>
          <c:orientation val="minMax"/>
        </c:scaling>
        <c:delete val="0"/>
        <c:axPos val="l"/>
        <c:majorGridlines/>
        <c:numFmt formatCode="0.000" sourceLinked="0"/>
        <c:majorTickMark val="out"/>
        <c:minorTickMark val="none"/>
        <c:tickLblPos val="nextTo"/>
        <c:crossAx val="196227072"/>
        <c:crosses val="autoZero"/>
        <c:crossBetween val="midCat"/>
      </c:valAx>
      <c:spPr>
        <a:solidFill>
          <a:schemeClr val="bg1"/>
        </a:solidFill>
      </c:spPr>
    </c:plotArea>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408"/>
          <c:y val="0.15722823340825598"/>
          <c:w val="0.75212009351544584"/>
          <c:h val="0.63414005192270861"/>
        </c:manualLayout>
      </c:layout>
      <c:scatterChart>
        <c:scatterStyle val="lineMarker"/>
        <c:varyColors val="0"/>
        <c:ser>
          <c:idx val="0"/>
          <c:order val="0"/>
          <c:tx>
            <c:v>Observations</c:v>
          </c:tx>
          <c:spPr>
            <a:ln>
              <a:noFill/>
            </a:ln>
          </c:spPr>
          <c:marker>
            <c:symbol val="square"/>
            <c:size val="5"/>
          </c:marker>
          <c:xVal>
            <c:numRef>
              <c:f>'Taux de mortalité'!$L$9:$L$25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'Taux de mortalité'!$J$9:$J$25</c:f>
              <c:numCache>
                <c:formatCode>0.0000_)</c:formatCode>
                <c:ptCount val="17"/>
                <c:pt idx="0">
                  <c:v>-2.3388498933690314</c:v>
                </c:pt>
                <c:pt idx="1">
                  <c:v>-2.0637851766105575</c:v>
                </c:pt>
                <c:pt idx="2">
                  <c:v>-1.7219478714409417</c:v>
                </c:pt>
                <c:pt idx="3">
                  <c:v>-1.3451072676966076</c:v>
                </c:pt>
                <c:pt idx="4">
                  <c:v>-0.9869792816932802</c:v>
                </c:pt>
                <c:pt idx="5">
                  <c:v>-0.70409253699614871</c:v>
                </c:pt>
                <c:pt idx="6">
                  <c:v>-0.47464011847384574</c:v>
                </c:pt>
                <c:pt idx="7">
                  <c:v>-0.29711275222015143</c:v>
                </c:pt>
                <c:pt idx="8">
                  <c:v>-0.14602596648810623</c:v>
                </c:pt>
                <c:pt idx="9">
                  <c:v>1.117467508383029E-2</c:v>
                </c:pt>
                <c:pt idx="10">
                  <c:v>0.15833180276930856</c:v>
                </c:pt>
                <c:pt idx="11">
                  <c:v>0.31435795967788815</c:v>
                </c:pt>
                <c:pt idx="12">
                  <c:v>0.48624353883518762</c:v>
                </c:pt>
                <c:pt idx="13">
                  <c:v>0.69224076136971646</c:v>
                </c:pt>
                <c:pt idx="14">
                  <c:v>0.93896466417381652</c:v>
                </c:pt>
                <c:pt idx="15">
                  <c:v>1.2338389993588503</c:v>
                </c:pt>
                <c:pt idx="16">
                  <c:v>#N/A</c:v>
                </c:pt>
              </c:numCache>
            </c:numRef>
          </c:yVal>
          <c:smooth val="0"/>
        </c:ser>
        <c:ser>
          <c:idx val="1"/>
          <c:order val="1"/>
          <c:tx>
            <c:v>Lissage</c:v>
          </c:tx>
          <c:spPr>
            <a:ln>
              <a:solidFill>
                <a:srgbClr val="FF66FF"/>
              </a:solidFill>
              <a:prstDash val="solid"/>
            </a:ln>
          </c:spPr>
          <c:marker>
            <c:symbol val="none"/>
          </c:marker>
          <c:xVal>
            <c:numRef>
              <c:f>'Taux de mortalité'!$L$9:$L$25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'Taux de mortalité'!$M$9:$M$25</c:f>
              <c:numCache>
                <c:formatCode>0.0000_)</c:formatCode>
                <c:ptCount val="17"/>
                <c:pt idx="0">
                  <c:v>-1.918370082823698</c:v>
                </c:pt>
                <c:pt idx="1">
                  <c:v>-1.6048153015297855</c:v>
                </c:pt>
                <c:pt idx="2">
                  <c:v>-1.4371615812545477</c:v>
                </c:pt>
                <c:pt idx="3">
                  <c:v>-1.2399424952238607</c:v>
                </c:pt>
                <c:pt idx="4">
                  <c:v>-0.97792343505276402</c:v>
                </c:pt>
                <c:pt idx="5">
                  <c:v>-0.69872364740246251</c:v>
                </c:pt>
                <c:pt idx="6">
                  <c:v>-0.46497763396441794</c:v>
                </c:pt>
                <c:pt idx="7">
                  <c:v>-0.26949358557299596</c:v>
                </c:pt>
                <c:pt idx="8">
                  <c:v>-0.11407314825083298</c:v>
                </c:pt>
                <c:pt idx="9">
                  <c:v>1.1240688829116885E-2</c:v>
                </c:pt>
                <c:pt idx="10">
                  <c:v>0.13216054021644646</c:v>
                </c:pt>
                <c:pt idx="11">
                  <c:v>0.27185995050861361</c:v>
                </c:pt>
                <c:pt idx="12">
                  <c:v>0.45595294682942578</c:v>
                </c:pt>
                <c:pt idx="13">
                  <c:v>0.68792122707097669</c:v>
                </c:pt>
                <c:pt idx="14">
                  <c:v>0.98260606357073932</c:v>
                </c:pt>
                <c:pt idx="15">
                  <c:v>1.386806292774986</c:v>
                </c:pt>
                <c:pt idx="16">
                  <c:v>1.9583453350172704</c:v>
                </c:pt>
              </c:numCache>
            </c:numRef>
          </c:yVal>
          <c:smooth val="0"/>
        </c:ser>
        <c:dLbls>
          <c:showLegendKey val="0"/>
          <c:showVal val="0"/>
          <c:showCatName val="0"/>
          <c:showSerName val="0"/>
          <c:showPercent val="0"/>
          <c:showBubbleSize val="0"/>
        </c:dLbls>
        <c:axId val="196261760"/>
        <c:axId val="196263936"/>
      </c:scatterChart>
      <c:valAx>
        <c:axId val="196261760"/>
        <c:scaling>
          <c:orientation val="minMax"/>
        </c:scaling>
        <c:delete val="0"/>
        <c:axPos val="b"/>
        <c:title>
          <c:tx>
            <c:rich>
              <a:bodyPr/>
              <a:lstStyle/>
              <a:p>
                <a:pPr>
                  <a:defRPr/>
                </a:pPr>
                <a:r>
                  <a:rPr lang="en-US"/>
                  <a:t>Ys(x)</a:t>
                </a:r>
              </a:p>
            </c:rich>
          </c:tx>
          <c:overlay val="0"/>
        </c:title>
        <c:numFmt formatCode="0.00" sourceLinked="0"/>
        <c:majorTickMark val="out"/>
        <c:minorTickMark val="none"/>
        <c:tickLblPos val="low"/>
        <c:crossAx val="196263936"/>
        <c:crossesAt val="0"/>
        <c:crossBetween val="midCat"/>
      </c:valAx>
      <c:valAx>
        <c:axId val="196263936"/>
        <c:scaling>
          <c:orientation val="minMax"/>
        </c:scaling>
        <c:delete val="0"/>
        <c:axPos val="l"/>
        <c:majorGridlines>
          <c:spPr>
            <a:ln>
              <a:noFill/>
            </a:ln>
          </c:spPr>
        </c:majorGridlines>
        <c:title>
          <c:tx>
            <c:rich>
              <a:bodyPr rot="-5400000" vert="horz"/>
              <a:lstStyle/>
              <a:p>
                <a:pPr>
                  <a:defRPr/>
                </a:pPr>
                <a:r>
                  <a:rPr lang="en-US"/>
                  <a:t>Y(x)</a:t>
                </a:r>
              </a:p>
            </c:rich>
          </c:tx>
          <c:overlay val="0"/>
        </c:title>
        <c:numFmt formatCode="0.00" sourceLinked="0"/>
        <c:majorTickMark val="out"/>
        <c:minorTickMark val="none"/>
        <c:tickLblPos val="low"/>
        <c:crossAx val="196261760"/>
        <c:crossesAt val="0"/>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42229605020419"/>
          <c:y val="0.15722823340825604"/>
          <c:w val="0.75212009351544606"/>
          <c:h val="0.63414005192270861"/>
        </c:manualLayout>
      </c:layout>
      <c:scatterChart>
        <c:scatterStyle val="lineMarker"/>
        <c:varyColors val="0"/>
        <c:ser>
          <c:idx val="0"/>
          <c:order val="0"/>
          <c:tx>
            <c:v>Taux corrigés</c:v>
          </c:tx>
          <c:spPr>
            <a:ln>
              <a:noFill/>
            </a:ln>
          </c:spPr>
          <c:marker>
            <c:symbol val="square"/>
            <c:size val="5"/>
          </c:marker>
          <c:xVal>
            <c:numRef>
              <c:f>'Taux de mortalité'!$G$8:$G$24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'Taux de mortalité'!$F$8:$F$24</c:f>
              <c:numCache>
                <c:formatCode>0.0000</c:formatCode>
                <c:ptCount val="17"/>
                <c:pt idx="0">
                  <c:v>1.8514667586383704E-3</c:v>
                </c:pt>
                <c:pt idx="1">
                  <c:v>1.347199465121896E-3</c:v>
                </c:pt>
                <c:pt idx="2">
                  <c:v>3.0893616313823614E-3</c:v>
                </c:pt>
                <c:pt idx="3">
                  <c:v>6.8437481984243943E-3</c:v>
                </c:pt>
                <c:pt idx="4">
                  <c:v>1.2876638212304803E-2</c:v>
                </c:pt>
                <c:pt idx="5">
                  <c:v>1.7735466859261823E-2</c:v>
                </c:pt>
                <c:pt idx="6">
                  <c:v>2.1649545302361177E-2</c:v>
                </c:pt>
                <c:pt idx="7">
                  <c:v>2.2452521391541937E-2</c:v>
                </c:pt>
                <c:pt idx="8">
                  <c:v>2.3613990942485209E-2</c:v>
                </c:pt>
                <c:pt idx="9">
                  <c:v>2.9275352374569623E-2</c:v>
                </c:pt>
                <c:pt idx="10">
                  <c:v>3.1847874893409955E-2</c:v>
                </c:pt>
                <c:pt idx="11">
                  <c:v>3.8314410531446984E-2</c:v>
                </c:pt>
                <c:pt idx="12">
                  <c:v>4.7199138665601353E-2</c:v>
                </c:pt>
                <c:pt idx="13">
                  <c:v>6.2438341483481832E-2</c:v>
                </c:pt>
                <c:pt idx="14">
                  <c:v>8.129749296367636E-2</c:v>
                </c:pt>
                <c:pt idx="15">
                  <c:v>0.10337023839082772</c:v>
                </c:pt>
                <c:pt idx="16">
                  <c:v>0.18536523880637276</c:v>
                </c:pt>
              </c:numCache>
            </c:numRef>
          </c:yVal>
          <c:smooth val="0"/>
        </c:ser>
        <c:ser>
          <c:idx val="1"/>
          <c:order val="1"/>
          <c:tx>
            <c:v>Taux lissés</c:v>
          </c:tx>
          <c:spPr>
            <a:ln w="28575">
              <a:solidFill>
                <a:srgbClr val="FF00FF"/>
              </a:solidFill>
            </a:ln>
          </c:spPr>
          <c:marker>
            <c:symbol val="none"/>
          </c:marker>
          <c:xVal>
            <c:numRef>
              <c:f>'Taux de mortalité'!$G$8:$G$24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'Taux de mortalité'!$Q$8:$Q$24</c:f>
              <c:numCache>
                <c:formatCode>0.0000</c:formatCode>
                <c:ptCount val="17"/>
                <c:pt idx="0">
                  <c:v>4.2667525903266057E-3</c:v>
                </c:pt>
                <c:pt idx="1">
                  <c:v>3.6485611047613513E-3</c:v>
                </c:pt>
                <c:pt idx="2">
                  <c:v>3.0680303317786534E-3</c:v>
                </c:pt>
                <c:pt idx="3">
                  <c:v>5.1020332051858672E-3</c:v>
                </c:pt>
                <c:pt idx="4">
                  <c:v>1.0370636018074168E-2</c:v>
                </c:pt>
                <c:pt idx="5">
                  <c:v>1.7714047172122493E-2</c:v>
                </c:pt>
                <c:pt idx="6">
                  <c:v>2.230966457074033E-2</c:v>
                </c:pt>
                <c:pt idx="7">
                  <c:v>2.5355690004300761E-2</c:v>
                </c:pt>
                <c:pt idx="8">
                  <c:v>2.5172798101631963E-2</c:v>
                </c:pt>
                <c:pt idx="9">
                  <c:v>2.3748981630496685E-2</c:v>
                </c:pt>
                <c:pt idx="10">
                  <c:v>2.5876725827184189E-2</c:v>
                </c:pt>
                <c:pt idx="11">
                  <c:v>3.3421697833674532E-2</c:v>
                </c:pt>
                <c:pt idx="12">
                  <c:v>4.9370633012750971E-2</c:v>
                </c:pt>
                <c:pt idx="13">
                  <c:v>6.9575759215755942E-2</c:v>
                </c:pt>
                <c:pt idx="14">
                  <c:v>9.7076926357638746E-2</c:v>
                </c:pt>
                <c:pt idx="15">
                  <c:v>0.14121621658512112</c:v>
                </c:pt>
                <c:pt idx="16">
                  <c:v>0.20054141329249389</c:v>
                </c:pt>
              </c:numCache>
            </c:numRef>
          </c:yVal>
          <c:smooth val="0"/>
        </c:ser>
        <c:dLbls>
          <c:showLegendKey val="0"/>
          <c:showVal val="0"/>
          <c:showCatName val="0"/>
          <c:showSerName val="0"/>
          <c:showPercent val="0"/>
          <c:showBubbleSize val="0"/>
        </c:dLbls>
        <c:axId val="197010176"/>
        <c:axId val="197011712"/>
      </c:scatterChart>
      <c:valAx>
        <c:axId val="197010176"/>
        <c:scaling>
          <c:orientation val="minMax"/>
          <c:max val="85"/>
          <c:min val="0"/>
        </c:scaling>
        <c:delete val="0"/>
        <c:axPos val="b"/>
        <c:numFmt formatCode="0" sourceLinked="0"/>
        <c:majorTickMark val="out"/>
        <c:minorTickMark val="none"/>
        <c:tickLblPos val="nextTo"/>
        <c:crossAx val="197011712"/>
        <c:crosses val="autoZero"/>
        <c:crossBetween val="midCat"/>
      </c:valAx>
      <c:valAx>
        <c:axId val="197011712"/>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197010176"/>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66" l="0.70000000000000062" r="0.70000000000000062" t="0.75000000000000266"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18</xdr:col>
      <xdr:colOff>63500</xdr:colOff>
      <xdr:row>0</xdr:row>
      <xdr:rowOff>0</xdr:rowOff>
    </xdr:from>
    <xdr:to>
      <xdr:col>23</xdr:col>
      <xdr:colOff>523875</xdr:colOff>
      <xdr:row>17</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63500</xdr:colOff>
      <xdr:row>18</xdr:row>
      <xdr:rowOff>12700</xdr:rowOff>
    </xdr:from>
    <xdr:to>
      <xdr:col>23</xdr:col>
      <xdr:colOff>552450</xdr:colOff>
      <xdr:row>33</xdr:row>
      <xdr:rowOff>12700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63500</xdr:colOff>
      <xdr:row>0</xdr:row>
      <xdr:rowOff>1</xdr:rowOff>
    </xdr:from>
    <xdr:to>
      <xdr:col>26</xdr:col>
      <xdr:colOff>19050</xdr:colOff>
      <xdr:row>15</xdr:row>
      <xdr:rowOff>1</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19050</xdr:colOff>
      <xdr:row>15</xdr:row>
      <xdr:rowOff>19050</xdr:rowOff>
    </xdr:from>
    <xdr:to>
      <xdr:col>26</xdr:col>
      <xdr:colOff>47625</xdr:colOff>
      <xdr:row>30</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1536</xdr:colOff>
      <xdr:row>36</xdr:row>
      <xdr:rowOff>24300</xdr:rowOff>
    </xdr:to>
    <xdr:grpSp>
      <xdr:nvGrpSpPr>
        <xdr:cNvPr id="6" name="Group 5"/>
        <xdr:cNvGrpSpPr/>
      </xdr:nvGrpSpPr>
      <xdr:grpSpPr>
        <a:xfrm>
          <a:off x="0" y="0"/>
          <a:ext cx="9822869" cy="5739300"/>
          <a:chOff x="0" y="0"/>
          <a:chExt cx="9822869" cy="5739300"/>
        </a:xfrm>
      </xdr:grpSpPr>
      <xdr:graphicFrame macro="">
        <xdr:nvGraphicFramePr>
          <xdr:cNvPr id="3" name="Chart 2"/>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Chart 4"/>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0</xdr:colOff>
      <xdr:row>37</xdr:row>
      <xdr:rowOff>0</xdr:rowOff>
    </xdr:from>
    <xdr:to>
      <xdr:col>16</xdr:col>
      <xdr:colOff>1536</xdr:colOff>
      <xdr:row>73</xdr:row>
      <xdr:rowOff>24300</xdr:rowOff>
    </xdr:to>
    <xdr:grpSp>
      <xdr:nvGrpSpPr>
        <xdr:cNvPr id="7" name="Group 6"/>
        <xdr:cNvGrpSpPr/>
      </xdr:nvGrpSpPr>
      <xdr:grpSpPr>
        <a:xfrm>
          <a:off x="0" y="5873750"/>
          <a:ext cx="9822869" cy="5739300"/>
          <a:chOff x="0" y="0"/>
          <a:chExt cx="9822869" cy="5739300"/>
        </a:xfrm>
      </xdr:grpSpPr>
      <xdr:graphicFrame macro="">
        <xdr:nvGraphicFramePr>
          <xdr:cNvPr id="8" name="Chart 7"/>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9" name="Chart 8"/>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DOR~1/AppData/Local/Temp/XPgrpwise/Synthetic%20orphanhood%20method%20Keny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OBDOR~1/AppData/Local/Temp/XPgrpwise/AM_Orphanhood_OneCensus_AIDS%20Kenya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row r="11">
          <cell r="D11" t="str">
            <v>UN General</v>
          </cell>
        </row>
      </sheetData>
      <sheetData sheetId="1"/>
      <sheetData sheetId="2">
        <row r="1">
          <cell r="S1">
            <v>1999.65</v>
          </cell>
        </row>
        <row r="57">
          <cell r="D57">
            <v>26.750483870967741</v>
          </cell>
        </row>
      </sheetData>
      <sheetData sheetId="3">
        <row r="43">
          <cell r="C43">
            <v>32.96050811424012</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Charts"/>
    </sheetNames>
    <sheetDataSet>
      <sheetData sheetId="0">
        <row r="11">
          <cell r="D11" t="str">
            <v>Princeton South</v>
          </cell>
        </row>
      </sheetData>
      <sheetData sheetId="1"/>
      <sheetData sheetId="2">
        <row r="1">
          <cell r="T1">
            <v>1999.65</v>
          </cell>
        </row>
        <row r="43">
          <cell r="D43">
            <v>26.750483870967741</v>
          </cell>
        </row>
      </sheetData>
      <sheetData sheetId="3">
        <row r="31">
          <cell r="C31">
            <v>32.96050811424012</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mographicestimation.iussp.org/fr/content/la-m&#233;thode-g&#233;n&#233;ralis&#233;e-de-la-balance-de-l&#8217;accroissement-d&#233;mographique" TargetMode="External"/><Relationship Id="rId1" Type="http://schemas.openxmlformats.org/officeDocument/2006/relationships/hyperlink" Target="http://demographicestimation.iussp.org/content/brass-growth-balance-metho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tabSelected="1" workbookViewId="0">
      <selection activeCell="D1" sqref="D1"/>
    </sheetView>
  </sheetViews>
  <sheetFormatPr defaultColWidth="9.140625" defaultRowHeight="18.75" customHeight="1"/>
  <cols>
    <col min="1" max="1" width="7.7109375" style="3" customWidth="1"/>
    <col min="2" max="2" width="97.7109375" style="3" customWidth="1"/>
    <col min="3" max="3" width="40.42578125" style="3" customWidth="1"/>
    <col min="4" max="4" width="16.42578125" style="3" customWidth="1"/>
    <col min="5" max="16384" width="9.140625" style="3"/>
  </cols>
  <sheetData>
    <row r="1" spans="1:4" ht="30" customHeight="1">
      <c r="A1" s="120" t="s">
        <v>93</v>
      </c>
      <c r="B1" s="121"/>
      <c r="D1" s="119"/>
    </row>
    <row r="2" spans="1:4" ht="18.75" customHeight="1">
      <c r="A2" s="100"/>
      <c r="B2" s="101"/>
    </row>
    <row r="3" spans="1:4" ht="18.75" customHeight="1">
      <c r="A3" s="122" t="s">
        <v>52</v>
      </c>
      <c r="B3" s="122"/>
    </row>
    <row r="4" spans="1:4" ht="18.75" customHeight="1">
      <c r="A4" s="123" t="s">
        <v>107</v>
      </c>
      <c r="B4" s="123"/>
    </row>
    <row r="6" spans="1:4" ht="93.75" customHeight="1">
      <c r="A6" s="124" t="s">
        <v>53</v>
      </c>
      <c r="B6" s="124"/>
    </row>
    <row r="7" spans="1:4" ht="18.75" customHeight="1" thickBot="1">
      <c r="A7" s="102"/>
      <c r="B7" s="102"/>
    </row>
    <row r="8" spans="1:4" ht="18.75" customHeight="1" thickBot="1">
      <c r="A8" s="103" t="s">
        <v>34</v>
      </c>
      <c r="B8" s="102"/>
      <c r="C8" s="125" t="s">
        <v>63</v>
      </c>
      <c r="D8" s="126"/>
    </row>
    <row r="9" spans="1:4" ht="15.75">
      <c r="A9" s="104">
        <v>1</v>
      </c>
      <c r="B9" s="105" t="s">
        <v>109</v>
      </c>
      <c r="C9" s="110" t="s">
        <v>60</v>
      </c>
      <c r="D9" s="96" t="s">
        <v>91</v>
      </c>
    </row>
    <row r="10" spans="1:4" ht="15.75">
      <c r="A10" s="106">
        <v>2</v>
      </c>
      <c r="B10" s="106" t="s">
        <v>54</v>
      </c>
      <c r="C10" s="111" t="s">
        <v>61</v>
      </c>
      <c r="D10" s="97" t="s">
        <v>108</v>
      </c>
    </row>
    <row r="11" spans="1:4" ht="45.75">
      <c r="A11" s="107">
        <v>3</v>
      </c>
      <c r="B11" s="108" t="s">
        <v>55</v>
      </c>
      <c r="C11" s="111" t="s">
        <v>62</v>
      </c>
      <c r="D11" s="97" t="s">
        <v>97</v>
      </c>
    </row>
    <row r="12" spans="1:4" ht="15.75">
      <c r="A12" s="107">
        <v>4</v>
      </c>
      <c r="B12" s="107" t="s">
        <v>56</v>
      </c>
      <c r="C12" s="112" t="s">
        <v>95</v>
      </c>
      <c r="D12" s="98">
        <v>37174</v>
      </c>
    </row>
    <row r="13" spans="1:4" ht="16.5" thickBot="1">
      <c r="A13" s="107">
        <v>5</v>
      </c>
      <c r="B13" s="107" t="s">
        <v>57</v>
      </c>
      <c r="C13" s="118" t="s">
        <v>96</v>
      </c>
      <c r="D13" s="99">
        <v>39128</v>
      </c>
    </row>
    <row r="14" spans="1:4" ht="15.75">
      <c r="A14" s="107">
        <v>6</v>
      </c>
      <c r="B14" s="107" t="s">
        <v>58</v>
      </c>
    </row>
    <row r="15" spans="1:4" ht="61.5">
      <c r="A15" s="107">
        <v>7</v>
      </c>
      <c r="B15" s="109" t="s">
        <v>92</v>
      </c>
    </row>
    <row r="16" spans="1:4" ht="30.75">
      <c r="A16" s="107">
        <v>9</v>
      </c>
      <c r="B16" s="109" t="s">
        <v>94</v>
      </c>
    </row>
    <row r="17" spans="1:2" ht="30.75">
      <c r="A17" s="107">
        <v>10</v>
      </c>
      <c r="B17" s="109" t="s">
        <v>59</v>
      </c>
    </row>
    <row r="18" spans="1:2" ht="15.75">
      <c r="A18" s="107">
        <v>11</v>
      </c>
      <c r="B18" s="109" t="s">
        <v>105</v>
      </c>
    </row>
    <row r="19" spans="1:2" ht="30.75">
      <c r="A19" s="107">
        <v>12</v>
      </c>
      <c r="B19" s="109" t="s">
        <v>104</v>
      </c>
    </row>
    <row r="20" spans="1:2" ht="15.75">
      <c r="A20" s="107">
        <v>13</v>
      </c>
      <c r="B20" s="107" t="s">
        <v>106</v>
      </c>
    </row>
    <row r="21" spans="1:2" ht="18.75" customHeight="1">
      <c r="A21" s="5"/>
      <c r="B21" s="6"/>
    </row>
    <row r="23" spans="1:2" ht="18.75" customHeight="1">
      <c r="A23" s="5"/>
      <c r="B23" s="6"/>
    </row>
    <row r="24" spans="1:2" ht="18.75" customHeight="1">
      <c r="A24" s="5"/>
      <c r="B24" s="6"/>
    </row>
    <row r="25" spans="1:2" ht="18.75" customHeight="1">
      <c r="A25" s="5"/>
      <c r="B25" s="6"/>
    </row>
    <row r="26" spans="1:2" ht="18.75" customHeight="1">
      <c r="A26" s="5"/>
      <c r="B26" s="6"/>
    </row>
    <row r="27" spans="1:2" ht="18.75" customHeight="1">
      <c r="A27" s="5"/>
      <c r="B27" s="6"/>
    </row>
    <row r="28" spans="1:2" ht="18.75" customHeight="1">
      <c r="A28" s="7"/>
      <c r="B28" s="8"/>
    </row>
    <row r="29" spans="1:2" ht="18.75" customHeight="1">
      <c r="A29" s="7"/>
      <c r="B29" s="8"/>
    </row>
    <row r="30" spans="1:2" ht="18.75" customHeight="1">
      <c r="A30" s="7"/>
      <c r="B30" s="8"/>
    </row>
    <row r="31" spans="1:2" ht="18.75" customHeight="1">
      <c r="A31" s="7"/>
      <c r="B31" s="8"/>
    </row>
    <row r="32" spans="1:2" ht="18.75" customHeight="1">
      <c r="A32" s="7"/>
      <c r="B32" s="8"/>
    </row>
    <row r="33" spans="1:2" ht="18.75" customHeight="1">
      <c r="A33" s="7"/>
      <c r="B33" s="8"/>
    </row>
    <row r="34" spans="1:2" ht="18.75" customHeight="1">
      <c r="A34" s="7"/>
      <c r="B34" s="7"/>
    </row>
    <row r="35" spans="1:2" ht="18.75" customHeight="1">
      <c r="A35" s="7"/>
      <c r="B35" s="7"/>
    </row>
    <row r="36" spans="1:2" ht="18.75" customHeight="1">
      <c r="A36" s="7"/>
      <c r="B36" s="7"/>
    </row>
    <row r="37" spans="1:2" ht="18.75" customHeight="1">
      <c r="A37" s="7"/>
      <c r="B37" s="7"/>
    </row>
    <row r="38" spans="1:2" ht="18.75" customHeight="1">
      <c r="A38" s="7"/>
      <c r="B38" s="7"/>
    </row>
    <row r="39" spans="1:2" ht="18.75" customHeight="1">
      <c r="A39" s="7"/>
      <c r="B39" s="7"/>
    </row>
    <row r="40" spans="1:2" ht="18.75" customHeight="1">
      <c r="A40" s="7"/>
      <c r="B40" s="7"/>
    </row>
    <row r="41" spans="1:2" ht="18.75" customHeight="1">
      <c r="A41" s="7"/>
      <c r="B41" s="7"/>
    </row>
    <row r="42" spans="1:2" ht="18.75" customHeight="1">
      <c r="A42" s="7"/>
      <c r="B42" s="7"/>
    </row>
    <row r="43" spans="1:2" ht="18.75" customHeight="1">
      <c r="A43" s="7"/>
      <c r="B43" s="7"/>
    </row>
    <row r="44" spans="1:2" ht="18.75" customHeight="1">
      <c r="A44" s="7"/>
      <c r="B44" s="7"/>
    </row>
    <row r="45" spans="1:2" ht="18.75" customHeight="1">
      <c r="A45" s="7"/>
      <c r="B45" s="7"/>
    </row>
    <row r="46" spans="1:2" ht="18.75" customHeight="1">
      <c r="A46" s="7"/>
      <c r="B46" s="7"/>
    </row>
    <row r="47" spans="1:2" ht="18.75" customHeight="1">
      <c r="A47" s="7"/>
      <c r="B47" s="7"/>
    </row>
    <row r="48" spans="1:2" ht="18.75" customHeight="1">
      <c r="A48" s="7"/>
      <c r="B48" s="7"/>
    </row>
    <row r="49" spans="1:2" ht="18.75" customHeight="1">
      <c r="A49" s="7"/>
      <c r="B49" s="7"/>
    </row>
    <row r="50" spans="1:2" ht="18.75" customHeight="1">
      <c r="A50" s="7"/>
      <c r="B50" s="7"/>
    </row>
    <row r="51" spans="1:2" ht="18.75" customHeight="1">
      <c r="A51" s="7"/>
      <c r="B51" s="7"/>
    </row>
    <row r="52" spans="1:2" ht="18.75" customHeight="1">
      <c r="A52" s="7"/>
      <c r="B52" s="7"/>
    </row>
    <row r="53" spans="1:2" ht="18.75" customHeight="1">
      <c r="A53" s="7"/>
      <c r="B53" s="7"/>
    </row>
    <row r="54" spans="1:2" ht="18.75" customHeight="1">
      <c r="A54" s="7"/>
      <c r="B54" s="7"/>
    </row>
    <row r="55" spans="1:2" ht="18.75" customHeight="1">
      <c r="A55" s="7"/>
      <c r="B55" s="7"/>
    </row>
    <row r="56" spans="1:2" ht="18.75" customHeight="1">
      <c r="A56" s="7"/>
      <c r="B56" s="7"/>
    </row>
    <row r="57" spans="1:2" ht="18.75" customHeight="1">
      <c r="A57" s="7"/>
      <c r="B57" s="7"/>
    </row>
    <row r="58" spans="1:2" ht="18.75" customHeight="1">
      <c r="A58" s="7"/>
      <c r="B58" s="7"/>
    </row>
  </sheetData>
  <sheetProtection sheet="1" objects="1" scenarios="1" selectLockedCells="1"/>
  <mergeCells count="5">
    <mergeCell ref="A1:B1"/>
    <mergeCell ref="A3:B3"/>
    <mergeCell ref="A4:B4"/>
    <mergeCell ref="A6:B6"/>
    <mergeCell ref="C8:D8"/>
  </mergeCells>
  <dataValidations count="3">
    <dataValidation type="list" showInputMessage="1" showErrorMessage="1" sqref="D10">
      <formula1>"Homme,Femme"</formula1>
    </dataValidation>
    <dataValidation type="list" showInputMessage="1" showErrorMessage="1" sqref="D11">
      <formula1>"NU Général,Princeton Est,Princeton Nord,Princeton Sud,Princeton Ouest,SIDA,Autre"</formula1>
    </dataValidation>
    <dataValidation type="list" showDropDown="1" showInputMessage="1" showErrorMessage="1" sqref="A4:B4">
      <formula1>"http://demographicestimation.iussp.org/content/brass-growth-balance-method"</formula1>
    </dataValidation>
  </dataValidations>
  <hyperlinks>
    <hyperlink ref="A4" r:id="rId1" display="http://demographicestimation.iussp.org/content/brass-growth-balance-method"/>
    <hyperlink ref="A4:B4" r:id="rId2" display="http://demographicestimation.iussp.org/fr/content/la-méthode-généralisée-de-la-balance-de-l’accroissement-démographique"/>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2"/>
  <sheetViews>
    <sheetView workbookViewId="0">
      <selection activeCell="I1" sqref="I1"/>
    </sheetView>
  </sheetViews>
  <sheetFormatPr defaultColWidth="9.140625" defaultRowHeight="15"/>
  <cols>
    <col min="1" max="1" width="7.7109375" style="10" customWidth="1"/>
    <col min="2" max="2" width="12" style="10" customWidth="1"/>
    <col min="3" max="6" width="14.5703125" style="10" customWidth="1"/>
    <col min="7" max="7" width="12.5703125" style="10" customWidth="1"/>
    <col min="8" max="8" width="12.140625" style="10" customWidth="1"/>
    <col min="9" max="9" width="4.5703125" style="10" customWidth="1"/>
    <col min="10" max="10" width="7.5703125" style="10" customWidth="1"/>
    <col min="11" max="15" width="12" style="10" customWidth="1"/>
    <col min="16" max="16" width="11.85546875" style="10" customWidth="1"/>
    <col min="17" max="17" width="10.85546875" style="10" customWidth="1"/>
    <col min="18" max="16384" width="9.140625" style="10"/>
  </cols>
  <sheetData>
    <row r="1" spans="1:17" ht="18.75">
      <c r="A1" s="9" t="s">
        <v>64</v>
      </c>
      <c r="G1" s="11" t="s">
        <v>65</v>
      </c>
      <c r="H1" s="12"/>
      <c r="J1" s="9" t="s">
        <v>66</v>
      </c>
      <c r="P1" s="11" t="s">
        <v>67</v>
      </c>
      <c r="Q1" s="12"/>
    </row>
    <row r="2" spans="1:17" ht="33" customHeight="1">
      <c r="A2" s="13" t="s">
        <v>1</v>
      </c>
      <c r="B2" s="116" t="s">
        <v>98</v>
      </c>
      <c r="C2" s="116" t="s">
        <v>99</v>
      </c>
      <c r="D2" s="116" t="s">
        <v>100</v>
      </c>
      <c r="E2" s="116" t="s">
        <v>101</v>
      </c>
      <c r="F2" s="116" t="s">
        <v>102</v>
      </c>
      <c r="G2" s="116" t="s">
        <v>97</v>
      </c>
      <c r="H2" s="116" t="s">
        <v>103</v>
      </c>
      <c r="J2" s="13" t="s">
        <v>1</v>
      </c>
      <c r="K2" s="116" t="s">
        <v>98</v>
      </c>
      <c r="L2" s="116" t="s">
        <v>99</v>
      </c>
      <c r="M2" s="116" t="s">
        <v>100</v>
      </c>
      <c r="N2" s="116" t="s">
        <v>101</v>
      </c>
      <c r="O2" s="116" t="s">
        <v>102</v>
      </c>
      <c r="P2" s="116" t="s">
        <v>97</v>
      </c>
      <c r="Q2" s="117" t="s">
        <v>103</v>
      </c>
    </row>
    <row r="3" spans="1:17">
      <c r="A3" s="14">
        <v>5</v>
      </c>
      <c r="B3" s="15">
        <v>-1.0557703137725243</v>
      </c>
      <c r="C3" s="15">
        <v>-1.0034528162299363</v>
      </c>
      <c r="D3" s="15">
        <v>-1.061325256602174</v>
      </c>
      <c r="E3" s="15">
        <v>-0.90879111177777439</v>
      </c>
      <c r="F3" s="15">
        <v>-1.0842444395521329</v>
      </c>
      <c r="G3" s="16">
        <v>-0.85180455224953355</v>
      </c>
      <c r="H3" s="17"/>
      <c r="J3" s="14">
        <v>5</v>
      </c>
      <c r="K3" s="15">
        <v>-1.1183426521790116</v>
      </c>
      <c r="L3" s="15">
        <v>-1.0839281949744348</v>
      </c>
      <c r="M3" s="15">
        <v>-1.1185632260148939</v>
      </c>
      <c r="N3" s="15">
        <v>-0.97803104804351482</v>
      </c>
      <c r="O3" s="15">
        <v>-1.1443836734991739</v>
      </c>
      <c r="P3" s="15">
        <v>-0.79829676250861992</v>
      </c>
      <c r="Q3" s="17"/>
    </row>
    <row r="4" spans="1:17">
      <c r="A4" s="14">
        <v>10</v>
      </c>
      <c r="B4" s="15">
        <v>-1.0059690881890577</v>
      </c>
      <c r="C4" s="15">
        <v>-0.96210277111891918</v>
      </c>
      <c r="D4" s="15">
        <v>-0.97867737240738273</v>
      </c>
      <c r="E4" s="15">
        <v>-0.87426674682746675</v>
      </c>
      <c r="F4" s="15">
        <v>-1.0329081865332934</v>
      </c>
      <c r="G4" s="15">
        <v>-0.799205207567936</v>
      </c>
      <c r="H4" s="17"/>
      <c r="J4" s="14">
        <v>10</v>
      </c>
      <c r="K4" s="15">
        <v>-1.0743948523980273</v>
      </c>
      <c r="L4" s="15">
        <v>-1.0472539080439389</v>
      </c>
      <c r="M4" s="15">
        <v>-1.0393562968308907</v>
      </c>
      <c r="N4" s="15">
        <v>-0.94784307566733739</v>
      </c>
      <c r="O4" s="15">
        <v>-1.0968312103313975</v>
      </c>
      <c r="P4" s="15">
        <v>-0.73689617552188336</v>
      </c>
      <c r="Q4" s="17"/>
    </row>
    <row r="5" spans="1:17">
      <c r="A5" s="14">
        <v>15</v>
      </c>
      <c r="B5" s="15">
        <v>-0.9778828398588445</v>
      </c>
      <c r="C5" s="15">
        <v>-0.93688771389348002</v>
      </c>
      <c r="D5" s="15">
        <v>-0.93456378789298888</v>
      </c>
      <c r="E5" s="15">
        <v>-0.85272014880258951</v>
      </c>
      <c r="F5" s="15">
        <v>-0.99562585121052949</v>
      </c>
      <c r="G5" s="15">
        <v>-0.77885315149743439</v>
      </c>
      <c r="H5" s="17"/>
      <c r="J5" s="14">
        <v>15</v>
      </c>
      <c r="K5" s="15">
        <v>-1.046640904616448</v>
      </c>
      <c r="L5" s="15">
        <v>-1.0232404683298353</v>
      </c>
      <c r="M5" s="15">
        <v>-0.99810318323243907</v>
      </c>
      <c r="N5" s="15">
        <v>-0.92724294571284704</v>
      </c>
      <c r="O5" s="15">
        <v>-1.0631132391187417</v>
      </c>
      <c r="P5" s="15">
        <v>-0.69613571586652812</v>
      </c>
      <c r="Q5" s="17"/>
    </row>
    <row r="6" spans="1:17">
      <c r="A6" s="14">
        <v>20</v>
      </c>
      <c r="B6" s="15">
        <v>-0.93810586936643969</v>
      </c>
      <c r="C6" s="15">
        <v>-0.90144694160929184</v>
      </c>
      <c r="D6" s="15">
        <v>-0.88577608039760869</v>
      </c>
      <c r="E6" s="15">
        <v>-0.82207221968309652</v>
      </c>
      <c r="F6" s="15">
        <v>-0.94491044364009291</v>
      </c>
      <c r="G6" s="15">
        <v>-0.73999984529103391</v>
      </c>
      <c r="H6" s="17"/>
      <c r="J6" s="14">
        <v>20</v>
      </c>
      <c r="K6" s="15">
        <v>-1.0066773582389617</v>
      </c>
      <c r="L6" s="15">
        <v>-0.98210627496614655</v>
      </c>
      <c r="M6" s="15">
        <v>-0.9416333856114224</v>
      </c>
      <c r="N6" s="15">
        <v>-0.89806980739238718</v>
      </c>
      <c r="O6" s="15">
        <v>-1.0130422551600544</v>
      </c>
      <c r="P6" s="15">
        <v>-0.66544049854843723</v>
      </c>
      <c r="Q6" s="17"/>
    </row>
    <row r="7" spans="1:17">
      <c r="A7" s="14">
        <v>25</v>
      </c>
      <c r="B7" s="15">
        <v>-0.88761866143951096</v>
      </c>
      <c r="C7" s="15">
        <v>-0.85645781794940679</v>
      </c>
      <c r="D7" s="15">
        <v>-0.83063229603261535</v>
      </c>
      <c r="E7" s="15">
        <v>-0.78407707634718316</v>
      </c>
      <c r="F7" s="15">
        <v>-0.88412226434856211</v>
      </c>
      <c r="G7" s="15">
        <v>-0.66746727013803897</v>
      </c>
      <c r="H7" s="17"/>
      <c r="J7" s="14">
        <v>25</v>
      </c>
      <c r="K7" s="15">
        <v>-0.95393531432576628</v>
      </c>
      <c r="L7" s="15">
        <v>-0.92677804853722057</v>
      </c>
      <c r="M7" s="15">
        <v>-0.86920613351053932</v>
      </c>
      <c r="N7" s="15">
        <v>-0.85624317643298331</v>
      </c>
      <c r="O7" s="15">
        <v>-0.94848666240099744</v>
      </c>
      <c r="P7" s="15">
        <v>-0.61930998136655224</v>
      </c>
      <c r="Q7" s="17"/>
    </row>
    <row r="8" spans="1:17">
      <c r="A8" s="14">
        <v>30</v>
      </c>
      <c r="B8" s="15">
        <v>-0.83222308793731981</v>
      </c>
      <c r="C8" s="15">
        <v>-0.80848565605858569</v>
      </c>
      <c r="D8" s="15">
        <v>-0.77200338720246053</v>
      </c>
      <c r="E8" s="15">
        <v>-0.74309524259921955</v>
      </c>
      <c r="F8" s="15">
        <v>-0.82136257147134217</v>
      </c>
      <c r="G8" s="15">
        <v>-0.55497544474088145</v>
      </c>
      <c r="H8" s="17"/>
      <c r="J8" s="14">
        <v>30</v>
      </c>
      <c r="K8" s="15">
        <v>-0.89866730377103976</v>
      </c>
      <c r="L8" s="15">
        <v>-0.87581973706212179</v>
      </c>
      <c r="M8" s="15">
        <v>-0.80208481424719991</v>
      </c>
      <c r="N8" s="15">
        <v>-0.81703262635799434</v>
      </c>
      <c r="O8" s="15">
        <v>-0.88773038554625583</v>
      </c>
      <c r="P8" s="15">
        <v>-0.53826653643964251</v>
      </c>
      <c r="Q8" s="17"/>
    </row>
    <row r="9" spans="1:17">
      <c r="A9" s="14">
        <v>35</v>
      </c>
      <c r="B9" s="15">
        <v>-0.77161320305701064</v>
      </c>
      <c r="C9" s="15">
        <v>-0.75720799673579831</v>
      </c>
      <c r="D9" s="15">
        <v>-0.71174620737879146</v>
      </c>
      <c r="E9" s="15">
        <v>-0.70212800843649648</v>
      </c>
      <c r="F9" s="15">
        <v>-0.75642199010305966</v>
      </c>
      <c r="G9" s="15">
        <v>-0.43949301509733479</v>
      </c>
      <c r="H9" s="17"/>
      <c r="J9" s="14">
        <v>35</v>
      </c>
      <c r="K9" s="15">
        <v>-0.83892900424050876</v>
      </c>
      <c r="L9" s="15">
        <v>-0.82474303239272606</v>
      </c>
      <c r="M9" s="15">
        <v>-0.73732351213430469</v>
      </c>
      <c r="N9" s="15">
        <v>-0.77189439731086973</v>
      </c>
      <c r="O9" s="15">
        <v>-0.8259381775987652</v>
      </c>
      <c r="P9" s="15">
        <v>-0.42396950774757225</v>
      </c>
      <c r="Q9" s="17"/>
    </row>
    <row r="10" spans="1:17">
      <c r="A10" s="14">
        <v>40</v>
      </c>
      <c r="B10" s="15">
        <v>-0.70536613769800149</v>
      </c>
      <c r="C10" s="15">
        <v>-0.70143650532592283</v>
      </c>
      <c r="D10" s="15">
        <v>-0.6489531581506035</v>
      </c>
      <c r="E10" s="15">
        <v>-0.65777314927556685</v>
      </c>
      <c r="F10" s="15">
        <v>-0.68862800696556059</v>
      </c>
      <c r="G10" s="15">
        <v>-0.34752805546091936</v>
      </c>
      <c r="H10" s="17"/>
      <c r="J10" s="14">
        <v>40</v>
      </c>
      <c r="K10" s="15">
        <v>-0.76900214861344063</v>
      </c>
      <c r="L10" s="15">
        <v>-0.76681316903129526</v>
      </c>
      <c r="M10" s="15">
        <v>-0.67218441284437103</v>
      </c>
      <c r="N10" s="15">
        <v>-0.72231250461550289</v>
      </c>
      <c r="O10" s="15">
        <v>-0.75696780176204026</v>
      </c>
      <c r="P10" s="15">
        <v>-0.30537040538400972</v>
      </c>
      <c r="Q10" s="17"/>
    </row>
    <row r="11" spans="1:17">
      <c r="A11" s="14">
        <v>45</v>
      </c>
      <c r="B11" s="15">
        <v>-0.63225842771700302</v>
      </c>
      <c r="C11" s="15">
        <v>-0.64063233149904941</v>
      </c>
      <c r="D11" s="15">
        <v>-0.58010435644994485</v>
      </c>
      <c r="E11" s="15">
        <v>-0.60809129187599065</v>
      </c>
      <c r="F11" s="15">
        <v>-0.61631192568392912</v>
      </c>
      <c r="G11" s="15">
        <v>-0.2796717464607949</v>
      </c>
      <c r="H11" s="17"/>
      <c r="J11" s="14">
        <v>45</v>
      </c>
      <c r="K11" s="15">
        <v>-0.68452755415039701</v>
      </c>
      <c r="L11" s="15">
        <v>-0.69542221623109723</v>
      </c>
      <c r="M11" s="15">
        <v>-0.6004320886314537</v>
      </c>
      <c r="N11" s="15">
        <v>-0.66038885146608195</v>
      </c>
      <c r="O11" s="15">
        <v>-0.67555110779524841</v>
      </c>
      <c r="P11" s="15">
        <v>-0.19102306031916078</v>
      </c>
      <c r="Q11" s="17"/>
    </row>
    <row r="12" spans="1:17">
      <c r="A12" s="14">
        <v>50</v>
      </c>
      <c r="B12" s="15">
        <v>-0.54716064042354773</v>
      </c>
      <c r="C12" s="15">
        <v>-0.56974874560225386</v>
      </c>
      <c r="D12" s="15">
        <v>-0.50864167857923615</v>
      </c>
      <c r="E12" s="15">
        <v>-0.55207839286799509</v>
      </c>
      <c r="F12" s="15">
        <v>-0.53540369879947558</v>
      </c>
      <c r="G12" s="15">
        <v>-0.22679742576773457</v>
      </c>
      <c r="H12" s="17"/>
      <c r="J12" s="14">
        <v>50</v>
      </c>
      <c r="K12" s="15">
        <v>-0.58094867734309374</v>
      </c>
      <c r="L12" s="15">
        <v>-0.60294976503765141</v>
      </c>
      <c r="M12" s="15">
        <v>-0.52059834010621253</v>
      </c>
      <c r="N12" s="15">
        <v>-0.58383201720449152</v>
      </c>
      <c r="O12" s="15">
        <v>-0.57720150892943201</v>
      </c>
      <c r="P12" s="15">
        <v>-9.1258238415243206E-2</v>
      </c>
      <c r="Q12" s="17"/>
    </row>
    <row r="13" spans="1:17">
      <c r="A13" s="14">
        <v>55</v>
      </c>
      <c r="B13" s="15">
        <v>-0.44323137082095437</v>
      </c>
      <c r="C13" s="15">
        <v>-0.48057184541702924</v>
      </c>
      <c r="D13" s="15">
        <v>-0.42279162488953242</v>
      </c>
      <c r="E13" s="15">
        <v>-0.48008226256731529</v>
      </c>
      <c r="F13" s="15">
        <v>-0.43713086722588262</v>
      </c>
      <c r="G13" s="15">
        <v>-0.17320805457698965</v>
      </c>
      <c r="H13" s="17"/>
      <c r="J13" s="14">
        <v>55</v>
      </c>
      <c r="K13" s="15">
        <v>-0.45326106749569572</v>
      </c>
      <c r="L13" s="15">
        <v>-0.48163530200651361</v>
      </c>
      <c r="M13" s="15">
        <v>-0.4210143479136163</v>
      </c>
      <c r="N13" s="15">
        <v>-0.48460666195853785</v>
      </c>
      <c r="O13" s="15">
        <v>-0.45582055810755873</v>
      </c>
      <c r="P13" s="15">
        <v>-5.7787208801094525E-3</v>
      </c>
      <c r="Q13" s="17"/>
    </row>
    <row r="14" spans="1:17">
      <c r="A14" s="14">
        <v>60</v>
      </c>
      <c r="B14" s="15">
        <v>-0.31406112015068494</v>
      </c>
      <c r="C14" s="15">
        <v>-0.36529580454443744</v>
      </c>
      <c r="D14" s="15">
        <v>-0.32102416945414897</v>
      </c>
      <c r="E14" s="15">
        <v>-0.38856998615937</v>
      </c>
      <c r="F14" s="15">
        <v>-0.3186589915311997</v>
      </c>
      <c r="G14" s="15">
        <v>-0.11051999808174573</v>
      </c>
      <c r="H14" s="17"/>
      <c r="J14" s="14">
        <v>60</v>
      </c>
      <c r="K14" s="15">
        <v>-0.29911364237741156</v>
      </c>
      <c r="L14" s="15">
        <v>-0.33065389097350745</v>
      </c>
      <c r="M14" s="15">
        <v>-0.30682105927662073</v>
      </c>
      <c r="N14" s="15">
        <v>-0.35965748316759905</v>
      </c>
      <c r="O14" s="15">
        <v>-0.30741359919534794</v>
      </c>
      <c r="P14" s="15">
        <v>8.0454876803862097E-2</v>
      </c>
      <c r="Q14" s="17"/>
    </row>
    <row r="15" spans="1:17">
      <c r="A15" s="14">
        <v>65</v>
      </c>
      <c r="B15" s="15">
        <v>-0.15350037229977559</v>
      </c>
      <c r="C15" s="15">
        <v>-0.21177193364854202</v>
      </c>
      <c r="D15" s="15">
        <v>-0.18761837894537206</v>
      </c>
      <c r="E15" s="15">
        <v>-0.25906906882787523</v>
      </c>
      <c r="F15" s="15">
        <v>-0.16637525937102554</v>
      </c>
      <c r="G15" s="15">
        <v>-2.4564773576284834E-2</v>
      </c>
      <c r="H15" s="17"/>
      <c r="J15" s="14">
        <v>65</v>
      </c>
      <c r="K15" s="15">
        <v>-0.11199770547699364</v>
      </c>
      <c r="L15" s="15">
        <v>-0.14845486484458761</v>
      </c>
      <c r="M15" s="15">
        <v>-0.16058401337471645</v>
      </c>
      <c r="N15" s="15">
        <v>-0.20182323747925654</v>
      </c>
      <c r="O15" s="15">
        <v>-0.1262176157653675</v>
      </c>
      <c r="P15" s="15">
        <v>0.18406648298591774</v>
      </c>
      <c r="Q15" s="17"/>
    </row>
    <row r="16" spans="1:17">
      <c r="A16" s="14">
        <v>70</v>
      </c>
      <c r="B16" s="15">
        <v>4.7202694544060057E-2</v>
      </c>
      <c r="C16" s="15">
        <v>-6.4627267002444113E-3</v>
      </c>
      <c r="D16" s="15">
        <v>-1.046876480077538E-2</v>
      </c>
      <c r="E16" s="15">
        <v>-7.9751647450351681E-2</v>
      </c>
      <c r="F16" s="15">
        <v>2.5988333390229997E-2</v>
      </c>
      <c r="G16" s="15">
        <v>0.1003150483892048</v>
      </c>
      <c r="H16" s="17"/>
      <c r="J16" s="14">
        <v>70</v>
      </c>
      <c r="K16" s="15">
        <v>0.11350757351291885</v>
      </c>
      <c r="L16" s="15">
        <v>7.4350889929898981E-2</v>
      </c>
      <c r="M16" s="15">
        <v>2.5027307118656625E-2</v>
      </c>
      <c r="N16" s="15">
        <v>-3.6304814007426826E-3</v>
      </c>
      <c r="O16" s="15">
        <v>9.2839228680570429E-2</v>
      </c>
      <c r="P16" s="15">
        <v>0.32605808533447933</v>
      </c>
      <c r="Q16" s="17"/>
    </row>
    <row r="17" spans="1:17">
      <c r="A17" s="14">
        <v>75</v>
      </c>
      <c r="B17" s="15">
        <v>0.29831344083201977</v>
      </c>
      <c r="C17" s="15">
        <v>0.26683377074043363</v>
      </c>
      <c r="D17" s="15">
        <v>0.22405908607537503</v>
      </c>
      <c r="E17" s="15">
        <v>0.17544223413848195</v>
      </c>
      <c r="F17" s="15">
        <v>0.27789225951999852</v>
      </c>
      <c r="G17" s="15">
        <v>0.26437837247892709</v>
      </c>
      <c r="H17" s="17"/>
      <c r="J17" s="14">
        <v>75</v>
      </c>
      <c r="K17" s="15">
        <v>0.38394770191107502</v>
      </c>
      <c r="L17" s="15">
        <v>0.35688919667802921</v>
      </c>
      <c r="M17" s="15">
        <v>0.26393791547571011</v>
      </c>
      <c r="N17" s="15">
        <v>0.26264157768898094</v>
      </c>
      <c r="O17" s="15">
        <v>0.36516868997048274</v>
      </c>
      <c r="P17" s="15">
        <v>0.5118891879176225</v>
      </c>
      <c r="Q17" s="17"/>
    </row>
    <row r="18" spans="1:17">
      <c r="A18" s="14">
        <v>80</v>
      </c>
      <c r="B18" s="15">
        <v>0.61317544977380356</v>
      </c>
      <c r="C18" s="15">
        <v>0.63032567098022951</v>
      </c>
      <c r="D18" s="15">
        <v>0.53050000260347951</v>
      </c>
      <c r="E18" s="15">
        <v>0.52941084062316079</v>
      </c>
      <c r="F18" s="15">
        <v>0.60865330973735543</v>
      </c>
      <c r="G18" s="15">
        <v>0.47887517915207028</v>
      </c>
      <c r="H18" s="17"/>
      <c r="J18" s="14">
        <v>80</v>
      </c>
      <c r="K18" s="15">
        <v>0.71024327752276806</v>
      </c>
      <c r="L18" s="15">
        <v>0.72453107950166995</v>
      </c>
      <c r="M18" s="15">
        <v>0.57732480411031639</v>
      </c>
      <c r="N18" s="15">
        <v>0.63094192216713241</v>
      </c>
      <c r="O18" s="15">
        <v>0.71611699723844735</v>
      </c>
      <c r="P18" s="15">
        <v>0.75588193380852187</v>
      </c>
      <c r="Q18" s="17"/>
    </row>
    <row r="19" spans="1:17">
      <c r="A19" s="18">
        <v>85</v>
      </c>
      <c r="B19" s="19">
        <v>1.0181822931175846</v>
      </c>
      <c r="C19" s="19">
        <v>1.1331829930730626</v>
      </c>
      <c r="D19" s="19">
        <v>0.94458953171090765</v>
      </c>
      <c r="E19" s="19">
        <v>1.0331091244568076</v>
      </c>
      <c r="F19" s="19">
        <v>1.0566921142266263</v>
      </c>
      <c r="G19" s="19">
        <v>0.76832737327098732</v>
      </c>
      <c r="H19" s="20"/>
      <c r="J19" s="18">
        <v>85</v>
      </c>
      <c r="K19" s="19">
        <v>1.1175905321542541</v>
      </c>
      <c r="L19" s="19">
        <v>1.2272198084146826</v>
      </c>
      <c r="M19" s="19">
        <v>1.0013626443891026</v>
      </c>
      <c r="N19" s="19">
        <v>1.1510053247399854</v>
      </c>
      <c r="O19" s="19">
        <v>1.1877303063916866</v>
      </c>
      <c r="P19" s="19">
        <v>1.0995381024185025</v>
      </c>
      <c r="Q19" s="20"/>
    </row>
    <row r="21" spans="1:17" ht="15.75">
      <c r="A21" s="21" t="s">
        <v>68</v>
      </c>
      <c r="G21" s="22"/>
      <c r="H21" s="22"/>
    </row>
    <row r="22" spans="1:17">
      <c r="A22" s="23"/>
      <c r="B22" s="23"/>
    </row>
    <row r="23" spans="1:17" ht="15.75">
      <c r="A23" s="24"/>
      <c r="B23" s="25" t="str">
        <f>Introduction!D11</f>
        <v>SIDA</v>
      </c>
      <c r="C23" s="25"/>
      <c r="D23" s="25" t="s">
        <v>36</v>
      </c>
    </row>
    <row r="24" spans="1:17" ht="16.5">
      <c r="A24" s="26" t="s">
        <v>1</v>
      </c>
      <c r="B24" s="27" t="s">
        <v>35</v>
      </c>
      <c r="C24" s="27"/>
      <c r="D24" s="27" t="s">
        <v>69</v>
      </c>
    </row>
    <row r="25" spans="1:17" ht="16.5">
      <c r="A25" s="28"/>
      <c r="B25" s="29" t="s">
        <v>37</v>
      </c>
      <c r="C25" s="29"/>
      <c r="D25" s="29" t="s">
        <v>38</v>
      </c>
    </row>
    <row r="26" spans="1:17">
      <c r="A26" s="14">
        <v>5</v>
      </c>
      <c r="B26" s="30">
        <f>IF(Introduction!$D$10="Femme",HLOOKUP(Introduction!D$11,$B$2:$H$19,ROW()-ROW(B$26)+2,FALSE),HLOOKUP(Introduction!D$11,$K$2:$Q$19,ROW()-ROW(B$26)+2,FALSE))</f>
        <v>-0.79829676250861992</v>
      </c>
      <c r="C26" s="30">
        <f>1/(1+EXP(2*B26))</f>
        <v>0.83154174464785968</v>
      </c>
      <c r="D26" s="30">
        <f>C26/C$26</f>
        <v>1</v>
      </c>
    </row>
    <row r="27" spans="1:17">
      <c r="A27" s="14">
        <v>10</v>
      </c>
      <c r="B27" s="31">
        <f>IF(Introduction!$D$10="Femme",HLOOKUP(Introduction!D$11,$B$2:$H$19,ROW()-ROW(B$26)+2,FALSE),HLOOKUP(Introduction!D$11,$K$2:$Q$19,ROW()-ROW(B$26)+2,FALSE))</f>
        <v>-0.73689617552188336</v>
      </c>
      <c r="C27" s="31">
        <f>1/(1+EXP(2*B27))</f>
        <v>0.81363312049038983</v>
      </c>
      <c r="D27" s="31">
        <f>C27/C$26</f>
        <v>0.97846334922721911</v>
      </c>
    </row>
    <row r="28" spans="1:17">
      <c r="A28" s="14">
        <v>15</v>
      </c>
      <c r="B28" s="31">
        <f>IF(Introduction!$D$10="Femme",HLOOKUP(Introduction!D$11,$B$2:$H$19,ROW()-ROW(B$26)+2,FALSE),HLOOKUP(Introduction!D$11,$K$2:$Q$19,ROW()-ROW(B$26)+2,FALSE))</f>
        <v>-0.69613571586652812</v>
      </c>
      <c r="C28" s="31">
        <f t="shared" ref="C28:C41" si="0">1/(1+EXP(2*B28))</f>
        <v>0.800954616712655</v>
      </c>
      <c r="D28" s="31">
        <f t="shared" ref="D28:D41" si="1">C28/C$26</f>
        <v>0.96321636510484787</v>
      </c>
    </row>
    <row r="29" spans="1:17">
      <c r="A29" s="14">
        <v>20</v>
      </c>
      <c r="B29" s="31">
        <f>IF(Introduction!$D$10="Femme",HLOOKUP(Introduction!D$11,$B$2:$H$19,ROW()-ROW(B$26)+2,FALSE),HLOOKUP(Introduction!D$11,$K$2:$Q$19,ROW()-ROW(B$26)+2,FALSE))</f>
        <v>-0.66544049854843723</v>
      </c>
      <c r="C29" s="31">
        <f t="shared" si="0"/>
        <v>0.79098632469707553</v>
      </c>
      <c r="D29" s="31">
        <f t="shared" si="1"/>
        <v>0.95122864220369541</v>
      </c>
    </row>
    <row r="30" spans="1:17">
      <c r="A30" s="14">
        <v>25</v>
      </c>
      <c r="B30" s="31">
        <f>IF(Introduction!$D$10="Femme",HLOOKUP(Introduction!D$11,$B$2:$H$19,ROW()-ROW(B$26)+2,FALSE),HLOOKUP(Introduction!D$11,$K$2:$Q$19,ROW()-ROW(B$26)+2,FALSE))</f>
        <v>-0.61930998136655224</v>
      </c>
      <c r="C30" s="31">
        <f t="shared" si="0"/>
        <v>0.77532370746025248</v>
      </c>
      <c r="D30" s="31">
        <f t="shared" si="1"/>
        <v>0.93239300666569136</v>
      </c>
    </row>
    <row r="31" spans="1:17">
      <c r="A31" s="14">
        <v>30</v>
      </c>
      <c r="B31" s="31">
        <f>IF(Introduction!$D$10="Femme",HLOOKUP(Introduction!D$11,$B$2:$H$19,ROW()-ROW(B$26)+2,FALSE),HLOOKUP(Introduction!D$11,$K$2:$Q$19,ROW()-ROW(B$26)+2,FALSE))</f>
        <v>-0.53826653643964251</v>
      </c>
      <c r="C31" s="31">
        <f t="shared" si="0"/>
        <v>0.74583733907124128</v>
      </c>
      <c r="D31" s="31">
        <f t="shared" si="1"/>
        <v>0.89693312918052914</v>
      </c>
    </row>
    <row r="32" spans="1:17">
      <c r="A32" s="14">
        <v>35</v>
      </c>
      <c r="B32" s="31">
        <f>IF(Introduction!$D$10="Femme",HLOOKUP(Introduction!D$11,$B$2:$H$19,ROW()-ROW(B$26)+2,FALSE),HLOOKUP(Introduction!D$11,$K$2:$Q$19,ROW()-ROW(B$26)+2,FALSE))</f>
        <v>-0.42396950774757225</v>
      </c>
      <c r="C32" s="31">
        <f t="shared" si="0"/>
        <v>0.70013462530491533</v>
      </c>
      <c r="D32" s="31">
        <f t="shared" si="1"/>
        <v>0.8419717107544703</v>
      </c>
    </row>
    <row r="33" spans="1:4">
      <c r="A33" s="14">
        <v>40</v>
      </c>
      <c r="B33" s="31">
        <f>IF(Introduction!$D$10="Femme",HLOOKUP(Introduction!D$11,$B$2:$H$19,ROW()-ROW(B$26)+2,FALSE),HLOOKUP(Introduction!D$11,$K$2:$Q$19,ROW()-ROW(B$26)+2,FALSE))</f>
        <v>-0.30537040538400972</v>
      </c>
      <c r="C33" s="31">
        <f t="shared" si="0"/>
        <v>0.64810977250568147</v>
      </c>
      <c r="D33" s="31">
        <f t="shared" si="1"/>
        <v>0.77940737993874531</v>
      </c>
    </row>
    <row r="34" spans="1:4">
      <c r="A34" s="14">
        <v>45</v>
      </c>
      <c r="B34" s="31">
        <f>IF(Introduction!$D$10="Femme",HLOOKUP(Introduction!D$11,$B$2:$H$19,ROW()-ROW(B$26)+2,FALSE),HLOOKUP(Introduction!D$11,$K$2:$Q$19,ROW()-ROW(B$26)+2,FALSE))</f>
        <v>-0.19102306031916078</v>
      </c>
      <c r="C34" s="31">
        <f t="shared" si="0"/>
        <v>0.59436650740924746</v>
      </c>
      <c r="D34" s="31">
        <f t="shared" si="1"/>
        <v>0.71477651150388022</v>
      </c>
    </row>
    <row r="35" spans="1:4">
      <c r="A35" s="14">
        <v>50</v>
      </c>
      <c r="B35" s="31">
        <f>IF(Introduction!$D$10="Femme",HLOOKUP(Introduction!D$11,$B$2:$H$19,ROW()-ROW(B$26)+2,FALSE),HLOOKUP(Introduction!D$11,$K$2:$Q$19,ROW()-ROW(B$26)+2,FALSE))</f>
        <v>-9.1258238415243206E-2</v>
      </c>
      <c r="C35" s="31">
        <f t="shared" si="0"/>
        <v>0.5455028723080011</v>
      </c>
      <c r="D35" s="31">
        <f t="shared" si="1"/>
        <v>0.65601381508394385</v>
      </c>
    </row>
    <row r="36" spans="1:4">
      <c r="A36" s="14">
        <v>55</v>
      </c>
      <c r="B36" s="31">
        <f>IF(Introduction!$D$10="Femme",HLOOKUP(Introduction!D$11,$B$2:$H$19,ROW()-ROW(B$26)+2,FALSE),HLOOKUP(Introduction!D$11,$K$2:$Q$19,ROW()-ROW(B$26)+2,FALSE))</f>
        <v>-5.7787208801094525E-3</v>
      </c>
      <c r="C36" s="31">
        <f t="shared" si="0"/>
        <v>0.50288932827842092</v>
      </c>
      <c r="D36" s="31">
        <f t="shared" si="1"/>
        <v>0.60476738722405798</v>
      </c>
    </row>
    <row r="37" spans="1:4">
      <c r="A37" s="14">
        <v>60</v>
      </c>
      <c r="B37" s="31">
        <f>IF(Introduction!$D$10="Femme",HLOOKUP(Introduction!D$11,$B$2:$H$19,ROW()-ROW(B$26)+2,FALSE),HLOOKUP(Introduction!D$11,$K$2:$Q$19,ROW()-ROW(B$26)+2,FALSE))</f>
        <v>8.0454876803862097E-2</v>
      </c>
      <c r="C37" s="31">
        <f t="shared" si="0"/>
        <v>0.45985913468169998</v>
      </c>
      <c r="D37" s="31">
        <f t="shared" si="1"/>
        <v>0.55301990265857381</v>
      </c>
    </row>
    <row r="38" spans="1:4">
      <c r="A38" s="14">
        <v>65</v>
      </c>
      <c r="B38" s="31">
        <f>IF(Introduction!$D$10="Femme",HLOOKUP(Introduction!D$11,$B$2:$H$19,ROW()-ROW(B$26)+2,FALSE),HLOOKUP(Introduction!D$11,$K$2:$Q$19,ROW()-ROW(B$26)+2,FALSE))</f>
        <v>0.18406648298591774</v>
      </c>
      <c r="C38" s="31">
        <f t="shared" si="0"/>
        <v>0.40899223972880094</v>
      </c>
      <c r="D38" s="31">
        <f t="shared" si="1"/>
        <v>0.49184811509613446</v>
      </c>
    </row>
    <row r="39" spans="1:4">
      <c r="A39" s="14">
        <v>70</v>
      </c>
      <c r="B39" s="31">
        <f>IF(Introduction!$D$10="Femme",HLOOKUP(Introduction!D$11,$B$2:$H$19,ROW()-ROW(B$26)+2,FALSE),HLOOKUP(Introduction!D$11,$K$2:$Q$19,ROW()-ROW(B$26)+2,FALSE))</f>
        <v>0.32605808533447933</v>
      </c>
      <c r="C39" s="31">
        <f t="shared" si="0"/>
        <v>0.34251282167441455</v>
      </c>
      <c r="D39" s="31">
        <f t="shared" si="1"/>
        <v>0.41190093447378456</v>
      </c>
    </row>
    <row r="40" spans="1:4">
      <c r="A40" s="14">
        <v>75</v>
      </c>
      <c r="B40" s="31">
        <f>IF(Introduction!$D$10="Femme",HLOOKUP(Introduction!D$11,$B$2:$H$19,ROW()-ROW(B$26)+2,FALSE),HLOOKUP(Introduction!D$11,$K$2:$Q$19,ROW()-ROW(B$26)+2,FALSE))</f>
        <v>0.5118891879176225</v>
      </c>
      <c r="C40" s="31">
        <f t="shared" si="0"/>
        <v>0.26429207243410291</v>
      </c>
      <c r="D40" s="31">
        <f t="shared" si="1"/>
        <v>0.31783379984852717</v>
      </c>
    </row>
    <row r="41" spans="1:4">
      <c r="A41" s="14">
        <v>80</v>
      </c>
      <c r="B41" s="31">
        <f>IF(Introduction!$D$10="Femme",HLOOKUP(Introduction!D$11,$B$2:$H$19,ROW()-ROW(B$26)+2,FALSE),HLOOKUP(Introduction!D$11,$K$2:$Q$19,ROW()-ROW(B$26)+2,FALSE))</f>
        <v>0.75588193380852187</v>
      </c>
      <c r="C41" s="31">
        <f t="shared" si="0"/>
        <v>0.1806775351650009</v>
      </c>
      <c r="D41" s="31">
        <f t="shared" si="1"/>
        <v>0.21728017424009663</v>
      </c>
    </row>
    <row r="42" spans="1:4">
      <c r="A42" s="18">
        <v>85</v>
      </c>
      <c r="B42" s="32">
        <f>IF(Introduction!$D$10="Femme",HLOOKUP(Introduction!D$11,$B$2:$H$19,ROW()-ROW(B$26)+2,FALSE),HLOOKUP(Introduction!D$11,$K$2:$Q$19,ROW()-ROW(B$26)+2,FALSE))</f>
        <v>1.0995381024185025</v>
      </c>
      <c r="C42" s="32">
        <f>1/(1+EXP(2*B42))</f>
        <v>9.9833476908001331E-2</v>
      </c>
      <c r="D42" s="32">
        <f>C42/C$26</f>
        <v>0.1200582863705522</v>
      </c>
    </row>
  </sheetData>
  <sheetProtection sheet="1" objects="1" scenarios="1"/>
  <dataValidations count="1">
    <dataValidation type="decimal" allowBlank="1" showInputMessage="1" showErrorMessage="1" error="Enter valid numeric values for the logits" sqref="H3:H19 Q3:Q19">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Estimation&amp;R&amp;"Cambria,Bold"&amp;14Orphanhood </oddHeader>
    <oddFooter>&amp;L&amp;"+,Regular"&amp;F&amp;R&amp;"+,Regular"&amp;D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5"/>
  <sheetViews>
    <sheetView zoomScaleNormal="100" workbookViewId="0">
      <selection activeCell="I1" sqref="I1"/>
    </sheetView>
  </sheetViews>
  <sheetFormatPr defaultColWidth="9.140625" defaultRowHeight="12.75"/>
  <cols>
    <col min="1" max="1" width="9.28515625" style="1" bestFit="1" customWidth="1"/>
    <col min="2" max="2" width="6" style="1" customWidth="1"/>
    <col min="3" max="3" width="11.140625" style="1" customWidth="1"/>
    <col min="4" max="4" width="11" style="1" customWidth="1"/>
    <col min="5" max="5" width="11.5703125" style="1" customWidth="1"/>
    <col min="6" max="6" width="9.42578125" style="1" bestFit="1" customWidth="1"/>
    <col min="7" max="7" width="11.28515625" style="1" customWidth="1"/>
    <col min="8" max="8" width="11.42578125" style="1" customWidth="1"/>
    <col min="9" max="9" width="11.28515625" style="1" customWidth="1"/>
    <col min="10" max="10" width="9.42578125" style="1" customWidth="1"/>
    <col min="11" max="11" width="12.140625" style="1" customWidth="1"/>
    <col min="12" max="12" width="11.42578125" style="1" customWidth="1"/>
    <col min="13" max="15" width="9.85546875" style="1" bestFit="1" customWidth="1"/>
    <col min="16" max="16" width="10.42578125" style="1" customWidth="1"/>
    <col min="17" max="17" width="9.28515625" style="1" bestFit="1" customWidth="1"/>
    <col min="18" max="18" width="10.140625" style="1" customWidth="1"/>
    <col min="19" max="19" width="11.28515625" style="1" customWidth="1"/>
    <col min="20" max="20" width="11" style="1" customWidth="1"/>
    <col min="21" max="21" width="11.5703125" style="1" customWidth="1"/>
    <col min="22" max="22" width="11" style="1" customWidth="1"/>
    <col min="23" max="25" width="9.140625" style="1"/>
    <col min="26" max="28" width="9.28515625" style="1" bestFit="1" customWidth="1"/>
    <col min="29" max="16384" width="9.140625" style="1"/>
  </cols>
  <sheetData>
    <row r="1" spans="1:18">
      <c r="A1" s="1" t="s">
        <v>70</v>
      </c>
      <c r="C1" s="35" t="str">
        <f>Introduction!D9</f>
        <v>Afrique du sud</v>
      </c>
      <c r="K1" s="46" t="s">
        <v>74</v>
      </c>
    </row>
    <row r="2" spans="1:18">
      <c r="B2" s="35"/>
      <c r="C2" s="36"/>
      <c r="E2" s="1" t="s">
        <v>72</v>
      </c>
      <c r="F2" s="35"/>
      <c r="G2" s="36">
        <f>YEAR(Introduction!D12)+YEARFRAC(DATE(YEAR(Introduction!D12),1,1),Introduction!D12,1)+YEARFRAC(Introduction!D12,Introduction!D13+1,1)/2</f>
        <v>2004.4496371685209</v>
      </c>
      <c r="H2" s="38"/>
      <c r="K2" s="46" t="s">
        <v>75</v>
      </c>
      <c r="L2" s="54">
        <v>5</v>
      </c>
    </row>
    <row r="3" spans="1:18">
      <c r="A3" s="1" t="s">
        <v>71</v>
      </c>
      <c r="C3" s="1" t="str">
        <f>Introduction!D10</f>
        <v>Homme</v>
      </c>
      <c r="E3" s="1" t="s">
        <v>73</v>
      </c>
      <c r="G3" s="36">
        <f>YEARFRAC(Introduction!D12,Introduction!D13+1,1)</f>
        <v>5.3540688575899837</v>
      </c>
      <c r="K3" s="46" t="s">
        <v>76</v>
      </c>
      <c r="L3" s="55">
        <v>84</v>
      </c>
      <c r="M3" s="39" t="s">
        <v>77</v>
      </c>
      <c r="N3" s="40"/>
      <c r="O3" s="39">
        <f>MAX(B21:B24)+5</f>
        <v>85</v>
      </c>
    </row>
    <row r="5" spans="1:18">
      <c r="C5" s="37"/>
      <c r="D5" s="37"/>
      <c r="F5" s="42"/>
    </row>
    <row r="6" spans="1:18" ht="30" customHeight="1">
      <c r="A6" s="43" t="s">
        <v>1</v>
      </c>
      <c r="B6" s="43" t="s">
        <v>0</v>
      </c>
      <c r="C6" s="44" t="s">
        <v>39</v>
      </c>
      <c r="D6" s="44" t="s">
        <v>40</v>
      </c>
      <c r="E6" s="44" t="s">
        <v>41</v>
      </c>
      <c r="F6" s="44" t="s">
        <v>42</v>
      </c>
      <c r="G6" s="53" t="s">
        <v>4</v>
      </c>
      <c r="H6" s="53" t="s">
        <v>5</v>
      </c>
      <c r="I6" s="53" t="s">
        <v>6</v>
      </c>
      <c r="J6" s="53" t="s">
        <v>32</v>
      </c>
      <c r="K6" s="53" t="s">
        <v>7</v>
      </c>
      <c r="L6" s="53" t="s">
        <v>8</v>
      </c>
      <c r="M6" s="53" t="s">
        <v>50</v>
      </c>
      <c r="N6" s="53" t="s">
        <v>33</v>
      </c>
      <c r="O6" s="53" t="s">
        <v>49</v>
      </c>
      <c r="P6" s="59" t="s">
        <v>51</v>
      </c>
      <c r="Q6" s="53" t="s">
        <v>9</v>
      </c>
      <c r="R6" s="60" t="s">
        <v>79</v>
      </c>
    </row>
    <row r="7" spans="1:18">
      <c r="A7" s="45">
        <f>COLUMN()</f>
        <v>1</v>
      </c>
      <c r="B7" s="45">
        <f>COLUMN()</f>
        <v>2</v>
      </c>
      <c r="C7" s="45">
        <f>COLUMN()</f>
        <v>3</v>
      </c>
      <c r="D7" s="45">
        <f>COLUMN()</f>
        <v>4</v>
      </c>
      <c r="E7" s="45">
        <f>COLUMN()</f>
        <v>5</v>
      </c>
      <c r="F7" s="45">
        <f>COLUMN()</f>
        <v>6</v>
      </c>
      <c r="G7" s="45">
        <f>COLUMN()</f>
        <v>7</v>
      </c>
      <c r="H7" s="45">
        <f>COLUMN()</f>
        <v>8</v>
      </c>
      <c r="I7" s="45">
        <f>COLUMN()</f>
        <v>9</v>
      </c>
      <c r="J7" s="45">
        <f>COLUMN()</f>
        <v>10</v>
      </c>
      <c r="K7" s="45">
        <f>COLUMN()</f>
        <v>11</v>
      </c>
      <c r="L7" s="45">
        <f>COLUMN()</f>
        <v>12</v>
      </c>
      <c r="M7" s="45">
        <f>COLUMN()</f>
        <v>13</v>
      </c>
      <c r="N7" s="45">
        <f>COLUMN()</f>
        <v>14</v>
      </c>
      <c r="O7" s="45">
        <f>COLUMN()</f>
        <v>15</v>
      </c>
      <c r="P7" s="45">
        <f>COLUMN()</f>
        <v>16</v>
      </c>
      <c r="Q7" s="45">
        <f>COLUMN()</f>
        <v>17</v>
      </c>
      <c r="R7" s="45">
        <f>COLUMN()</f>
        <v>18</v>
      </c>
    </row>
    <row r="8" spans="1:18">
      <c r="A8" s="46" t="s">
        <v>12</v>
      </c>
      <c r="B8" s="1">
        <v>0</v>
      </c>
      <c r="C8" s="56">
        <v>2223006</v>
      </c>
      <c r="D8" s="56">
        <v>2505743.5</v>
      </c>
      <c r="E8" s="56">
        <v>229949.14710782745</v>
      </c>
      <c r="F8" s="56">
        <v>10605.138127410559</v>
      </c>
      <c r="G8" s="48">
        <f t="shared" ref="G8:H20" si="0">G9+C8</f>
        <v>21434045</v>
      </c>
      <c r="H8" s="48">
        <f t="shared" si="0"/>
        <v>23348678.829999998</v>
      </c>
      <c r="I8" s="48">
        <f t="shared" ref="I8:I19" si="1">I9+E8</f>
        <v>1691548.2487148494</v>
      </c>
      <c r="J8" s="48">
        <f t="shared" ref="J8:J19" si="2">J9+F8</f>
        <v>128945.721945814</v>
      </c>
      <c r="K8" s="48">
        <f>G$3*(G8*H8)^0.5</f>
        <v>119775275.09539694</v>
      </c>
      <c r="L8" s="48"/>
      <c r="M8" s="41"/>
      <c r="N8" s="34" t="e">
        <f>IF(L8="", NA(),(H8-G8-J8)/K8)</f>
        <v>#N/A</v>
      </c>
      <c r="O8" s="34">
        <v>0</v>
      </c>
      <c r="Q8" s="52">
        <f t="shared" ref="Q8:Q24" ca="1" si="3">Q$27+Q$32*O8</f>
        <v>-5.0133003548464145E-3</v>
      </c>
      <c r="R8" s="52"/>
    </row>
    <row r="9" spans="1:18">
      <c r="A9" s="46" t="s">
        <v>13</v>
      </c>
      <c r="B9" s="1">
        <v>5</v>
      </c>
      <c r="C9" s="56">
        <v>2425066</v>
      </c>
      <c r="D9" s="56">
        <v>2560641.9</v>
      </c>
      <c r="E9" s="56">
        <v>22683.027177160064</v>
      </c>
      <c r="F9" s="56">
        <v>2848.4857032874015</v>
      </c>
      <c r="G9" s="48">
        <f t="shared" si="0"/>
        <v>19211039</v>
      </c>
      <c r="H9" s="48">
        <f t="shared" si="0"/>
        <v>20842935.329999998</v>
      </c>
      <c r="I9" s="48">
        <f t="shared" si="1"/>
        <v>1461599.1016070219</v>
      </c>
      <c r="J9" s="48">
        <f t="shared" si="2"/>
        <v>118340.58381840344</v>
      </c>
      <c r="K9" s="48">
        <f t="shared" ref="K9:K25" si="4">G$3*(G9*H9)^0.5</f>
        <v>107136836.76576611</v>
      </c>
      <c r="L9" s="48">
        <f>G$3*(C8*D9)^0.5/5</f>
        <v>2554810.4810349294</v>
      </c>
      <c r="M9" s="34">
        <f>IF(L9="",NA(),L9/K9)</f>
        <v>2.384623774753147E-2</v>
      </c>
      <c r="N9" s="34">
        <f>IF(L9="", NA(),(H9-G9-J9)/K9)</f>
        <v>1.412731411410522E-2</v>
      </c>
      <c r="O9" s="34">
        <f t="shared" ref="O9:O23" si="5">IF(L9="",NA(),I9/K9)</f>
        <v>1.3642358181645073E-2</v>
      </c>
      <c r="P9" s="34">
        <f t="shared" ref="P9:P14" si="6">IF(L$2&lt;B10,M9-N9,NA())</f>
        <v>9.7189236334262498E-3</v>
      </c>
      <c r="Q9" s="52">
        <f t="shared" ca="1" si="3"/>
        <v>9.8434734488138907E-3</v>
      </c>
      <c r="R9" s="52">
        <f t="shared" ref="R9:R15" ca="1" si="7">IF(L$2&lt;B10,P9-Q9,NA())</f>
        <v>-1.2454981538764093E-4</v>
      </c>
    </row>
    <row r="10" spans="1:18">
      <c r="A10" s="46" t="s">
        <v>14</v>
      </c>
      <c r="B10" s="1">
        <v>10</v>
      </c>
      <c r="C10" s="56">
        <v>2518985</v>
      </c>
      <c r="D10" s="56">
        <v>2452338.7999999998</v>
      </c>
      <c r="E10" s="56">
        <v>16462.046192145855</v>
      </c>
      <c r="F10" s="56">
        <v>5152.7988910692857</v>
      </c>
      <c r="G10" s="48">
        <f t="shared" si="0"/>
        <v>16785973</v>
      </c>
      <c r="H10" s="48">
        <f t="shared" si="0"/>
        <v>18282293.43</v>
      </c>
      <c r="I10" s="48">
        <f t="shared" si="1"/>
        <v>1438916.0744298617</v>
      </c>
      <c r="J10" s="48">
        <f t="shared" si="2"/>
        <v>115492.09811511604</v>
      </c>
      <c r="K10" s="48">
        <f t="shared" si="4"/>
        <v>93793458.448331416</v>
      </c>
      <c r="L10" s="48">
        <f t="shared" ref="L10:L20" si="8">G$3*(C9*D10)^0.5/5</f>
        <v>2611355.2893836582</v>
      </c>
      <c r="M10" s="34">
        <f t="shared" ref="M10:M20" si="9">IF(L10="",NA(),L10/K10)</f>
        <v>2.7841550280632756E-2</v>
      </c>
      <c r="N10" s="34">
        <f t="shared" ref="N10:N24" si="10">IF(L10="", NA(),(H10-G10-J10)/K10)</f>
        <v>1.4722011052034604E-2</v>
      </c>
      <c r="O10" s="34">
        <f t="shared" si="5"/>
        <v>1.5341326551281041E-2</v>
      </c>
      <c r="P10" s="34">
        <f t="shared" si="6"/>
        <v>1.3119539228598152E-2</v>
      </c>
      <c r="Q10" s="52">
        <f t="shared" ca="1" si="3"/>
        <v>1.1693680607369188E-2</v>
      </c>
      <c r="R10" s="52">
        <f t="shared" ca="1" si="7"/>
        <v>1.4258586212289644E-3</v>
      </c>
    </row>
    <row r="11" spans="1:18">
      <c r="A11" s="46" t="s">
        <v>15</v>
      </c>
      <c r="B11" s="1">
        <v>15</v>
      </c>
      <c r="C11" s="56">
        <v>2453156</v>
      </c>
      <c r="D11" s="56">
        <v>2553292.9</v>
      </c>
      <c r="E11" s="56">
        <v>38012.859408201148</v>
      </c>
      <c r="F11" s="56">
        <v>16573.503554241652</v>
      </c>
      <c r="G11" s="48">
        <f t="shared" si="0"/>
        <v>14266988</v>
      </c>
      <c r="H11" s="48">
        <f t="shared" si="0"/>
        <v>15829954.630000001</v>
      </c>
      <c r="I11" s="48">
        <f t="shared" si="1"/>
        <v>1422454.0282377158</v>
      </c>
      <c r="J11" s="48">
        <f t="shared" si="2"/>
        <v>110339.29922404676</v>
      </c>
      <c r="K11" s="48">
        <f t="shared" si="4"/>
        <v>80461835.464544386</v>
      </c>
      <c r="L11" s="48">
        <f>G$3*(C10*D11)^0.5/5</f>
        <v>2715670.3923254306</v>
      </c>
      <c r="M11" s="34">
        <f t="shared" si="9"/>
        <v>3.3751037080456542E-2</v>
      </c>
      <c r="N11" s="34">
        <f t="shared" si="10"/>
        <v>1.8053619115065506E-2</v>
      </c>
      <c r="O11" s="34">
        <f t="shared" si="5"/>
        <v>1.7678617695273954E-2</v>
      </c>
      <c r="P11" s="34">
        <f t="shared" si="6"/>
        <v>1.5697417965391036E-2</v>
      </c>
      <c r="Q11" s="52">
        <f t="shared" ca="1" si="3"/>
        <v>1.4239032765496869E-2</v>
      </c>
      <c r="R11" s="52">
        <f t="shared" ca="1" si="7"/>
        <v>1.4583851998941667E-3</v>
      </c>
    </row>
    <row r="12" spans="1:18">
      <c r="A12" s="46" t="s">
        <v>16</v>
      </c>
      <c r="B12" s="1">
        <v>20</v>
      </c>
      <c r="C12" s="56">
        <v>2099417</v>
      </c>
      <c r="D12" s="56">
        <v>2362519</v>
      </c>
      <c r="E12" s="56">
        <v>74934.173367597454</v>
      </c>
      <c r="F12" s="56">
        <v>14802.770597702409</v>
      </c>
      <c r="G12" s="48">
        <f t="shared" si="0"/>
        <v>11813832</v>
      </c>
      <c r="H12" s="48">
        <f t="shared" si="0"/>
        <v>13276661.73</v>
      </c>
      <c r="I12" s="48">
        <f t="shared" si="1"/>
        <v>1384441.1688295146</v>
      </c>
      <c r="J12" s="48">
        <f t="shared" si="2"/>
        <v>93765.795669805113</v>
      </c>
      <c r="K12" s="48">
        <f>G$3*(G12*H12)^0.5</f>
        <v>67053861.4389496</v>
      </c>
      <c r="L12" s="48">
        <f t="shared" si="8"/>
        <v>2577888.8385023098</v>
      </c>
      <c r="M12" s="34">
        <f>IF(L12="",NA(),L12/K12)</f>
        <v>3.8445046760646216E-2</v>
      </c>
      <c r="N12" s="34">
        <f t="shared" si="10"/>
        <v>2.041737649332372E-2</v>
      </c>
      <c r="O12" s="34">
        <f t="shared" si="5"/>
        <v>2.0646703099865535E-2</v>
      </c>
      <c r="P12" s="34">
        <f t="shared" si="6"/>
        <v>1.8027670267322497E-2</v>
      </c>
      <c r="Q12" s="52">
        <f t="shared" ca="1" si="3"/>
        <v>1.7471331236100823E-2</v>
      </c>
      <c r="R12" s="52">
        <f t="shared" ca="1" si="7"/>
        <v>5.56339031221674E-4</v>
      </c>
    </row>
    <row r="13" spans="1:18">
      <c r="A13" s="46" t="s">
        <v>17</v>
      </c>
      <c r="B13" s="1">
        <v>25</v>
      </c>
      <c r="C13" s="56">
        <v>1899275</v>
      </c>
      <c r="D13" s="56">
        <v>2033165.3</v>
      </c>
      <c r="E13" s="56">
        <v>124403.22897418254</v>
      </c>
      <c r="F13" s="56">
        <v>4714.0127417495423</v>
      </c>
      <c r="G13" s="48">
        <f t="shared" si="0"/>
        <v>9714415</v>
      </c>
      <c r="H13" s="48">
        <f t="shared" si="0"/>
        <v>10914142.73</v>
      </c>
      <c r="I13" s="48">
        <f t="shared" si="1"/>
        <v>1309506.9954619172</v>
      </c>
      <c r="J13" s="48">
        <f t="shared" si="2"/>
        <v>78963.025072102697</v>
      </c>
      <c r="K13" s="48">
        <f t="shared" si="4"/>
        <v>55129885.825452194</v>
      </c>
      <c r="L13" s="48">
        <f t="shared" si="8"/>
        <v>2212328.6686175796</v>
      </c>
      <c r="M13" s="34">
        <f t="shared" si="9"/>
        <v>4.0129389631280508E-2</v>
      </c>
      <c r="N13" s="34">
        <f t="shared" si="10"/>
        <v>2.0329530673732443E-2</v>
      </c>
      <c r="O13" s="34">
        <f t="shared" si="5"/>
        <v>2.3753123661601129E-2</v>
      </c>
      <c r="P13" s="34">
        <f t="shared" si="6"/>
        <v>1.9799858957548065E-2</v>
      </c>
      <c r="Q13" s="52">
        <f t="shared" ca="1" si="3"/>
        <v>2.0854279184706868E-2</v>
      </c>
      <c r="R13" s="52">
        <f t="shared" ca="1" si="7"/>
        <v>-1.0544202271588025E-3</v>
      </c>
    </row>
    <row r="14" spans="1:18">
      <c r="A14" s="46" t="s">
        <v>18</v>
      </c>
      <c r="B14" s="1">
        <v>30</v>
      </c>
      <c r="C14" s="56">
        <v>1594624</v>
      </c>
      <c r="D14" s="56">
        <v>1875482.6</v>
      </c>
      <c r="E14" s="56">
        <v>150791.61121107102</v>
      </c>
      <c r="F14" s="56">
        <v>13330.725342395457</v>
      </c>
      <c r="G14" s="48">
        <f t="shared" si="0"/>
        <v>7815140</v>
      </c>
      <c r="H14" s="48">
        <f t="shared" si="0"/>
        <v>8880977.4299999997</v>
      </c>
      <c r="I14" s="48">
        <f t="shared" si="1"/>
        <v>1185103.7664877346</v>
      </c>
      <c r="J14" s="48">
        <f t="shared" si="2"/>
        <v>74249.012330353158</v>
      </c>
      <c r="K14" s="48">
        <f t="shared" si="4"/>
        <v>44604915.052005954</v>
      </c>
      <c r="L14" s="48">
        <f t="shared" si="8"/>
        <v>2020991.0647943269</v>
      </c>
      <c r="M14" s="34">
        <f t="shared" si="9"/>
        <v>4.5308707850648396E-2</v>
      </c>
      <c r="N14" s="34">
        <f t="shared" si="10"/>
        <v>2.2230474298931619E-2</v>
      </c>
      <c r="O14" s="34">
        <f t="shared" si="5"/>
        <v>2.6568905357313054E-2</v>
      </c>
      <c r="P14" s="34">
        <f t="shared" si="6"/>
        <v>2.3078233551716777E-2</v>
      </c>
      <c r="Q14" s="52">
        <f t="shared" ca="1" si="3"/>
        <v>2.3920716172848945E-2</v>
      </c>
      <c r="R14" s="52">
        <f t="shared" ca="1" si="7"/>
        <v>-8.4248262113216857E-4</v>
      </c>
    </row>
    <row r="15" spans="1:18">
      <c r="A15" s="46" t="s">
        <v>19</v>
      </c>
      <c r="B15" s="1">
        <v>35</v>
      </c>
      <c r="C15" s="56">
        <v>1441657</v>
      </c>
      <c r="D15" s="56">
        <v>1548185.2</v>
      </c>
      <c r="E15" s="56">
        <v>159015.73338435774</v>
      </c>
      <c r="F15" s="56">
        <v>9692.8689073678088</v>
      </c>
      <c r="G15" s="48">
        <f t="shared" si="0"/>
        <v>6220516</v>
      </c>
      <c r="H15" s="48">
        <f t="shared" si="0"/>
        <v>7005494.8300000001</v>
      </c>
      <c r="I15" s="48">
        <f t="shared" si="1"/>
        <v>1034312.1552766636</v>
      </c>
      <c r="J15" s="48">
        <f t="shared" si="2"/>
        <v>60918.286987957705</v>
      </c>
      <c r="K15" s="48">
        <f t="shared" si="4"/>
        <v>35344070.634101845</v>
      </c>
      <c r="L15" s="48">
        <f t="shared" si="8"/>
        <v>1682497.9810321652</v>
      </c>
      <c r="M15" s="34">
        <f t="shared" si="9"/>
        <v>4.7603401386619046E-2</v>
      </c>
      <c r="N15" s="34">
        <f t="shared" si="10"/>
        <v>2.0486054096820139E-2</v>
      </c>
      <c r="O15" s="34">
        <f t="shared" si="5"/>
        <v>2.9264092582440237E-2</v>
      </c>
      <c r="P15" s="34">
        <f t="shared" ref="P15:P19" si="11">IF(E15&gt;0,M15-N15,NA())</f>
        <v>2.7117347289798907E-2</v>
      </c>
      <c r="Q15" s="52">
        <f t="shared" ca="1" si="3"/>
        <v>2.6855823610220229E-2</v>
      </c>
      <c r="R15" s="52">
        <f t="shared" ca="1" si="7"/>
        <v>2.6152367957867767E-4</v>
      </c>
    </row>
    <row r="16" spans="1:18">
      <c r="A16" s="46" t="s">
        <v>20</v>
      </c>
      <c r="B16" s="1">
        <v>40</v>
      </c>
      <c r="C16" s="56">
        <v>1233813</v>
      </c>
      <c r="D16" s="56">
        <v>1306899.8</v>
      </c>
      <c r="E16" s="56">
        <v>140171.53341224187</v>
      </c>
      <c r="F16" s="56">
        <v>7463.9251799293243</v>
      </c>
      <c r="G16" s="48">
        <f t="shared" si="0"/>
        <v>4778859</v>
      </c>
      <c r="H16" s="48">
        <f t="shared" si="0"/>
        <v>5457309.6299999999</v>
      </c>
      <c r="I16" s="48">
        <f t="shared" si="1"/>
        <v>875296.42189230584</v>
      </c>
      <c r="J16" s="48">
        <f t="shared" si="2"/>
        <v>51225.418080589894</v>
      </c>
      <c r="K16" s="48">
        <f t="shared" si="4"/>
        <v>27342319.774447836</v>
      </c>
      <c r="L16" s="48">
        <f t="shared" si="8"/>
        <v>1469826.4764360285</v>
      </c>
      <c r="M16" s="34">
        <f t="shared" si="9"/>
        <v>5.375646574836794E-2</v>
      </c>
      <c r="N16" s="34">
        <f t="shared" si="10"/>
        <v>2.2939721907047902E-2</v>
      </c>
      <c r="O16" s="34">
        <f t="shared" si="5"/>
        <v>3.2012514999195309E-2</v>
      </c>
      <c r="P16" s="34">
        <f t="shared" si="11"/>
        <v>3.0816743841320039E-2</v>
      </c>
      <c r="Q16" s="52">
        <f t="shared" ca="1" si="3"/>
        <v>2.9848905130215597E-2</v>
      </c>
      <c r="R16" s="52">
        <f ca="1">P16-Q16</f>
        <v>9.6783871110444133E-4</v>
      </c>
    </row>
    <row r="17" spans="1:19">
      <c r="A17" s="46" t="s">
        <v>21</v>
      </c>
      <c r="B17" s="1">
        <v>45</v>
      </c>
      <c r="C17" s="56">
        <v>967744</v>
      </c>
      <c r="D17" s="56">
        <v>1104293.7</v>
      </c>
      <c r="E17" s="56">
        <v>120016.46260439079</v>
      </c>
      <c r="F17" s="56">
        <v>8719.168128147463</v>
      </c>
      <c r="G17" s="48">
        <f t="shared" si="0"/>
        <v>3545046</v>
      </c>
      <c r="H17" s="48">
        <f t="shared" si="0"/>
        <v>4150409.83</v>
      </c>
      <c r="I17" s="48">
        <f t="shared" si="1"/>
        <v>735124.88848006399</v>
      </c>
      <c r="J17" s="48">
        <f t="shared" si="2"/>
        <v>43761.492900660567</v>
      </c>
      <c r="K17" s="48">
        <f t="shared" si="4"/>
        <v>20537159.745055906</v>
      </c>
      <c r="L17" s="48">
        <f t="shared" si="8"/>
        <v>1249916.2552009742</v>
      </c>
      <c r="M17" s="34">
        <f t="shared" si="9"/>
        <v>6.0861203336643355E-2</v>
      </c>
      <c r="N17" s="34">
        <f t="shared" si="10"/>
        <v>2.7345667271957554E-2</v>
      </c>
      <c r="O17" s="34">
        <f t="shared" si="5"/>
        <v>3.579486635960151E-2</v>
      </c>
      <c r="P17" s="34">
        <f t="shared" si="11"/>
        <v>3.3515536064685797E-2</v>
      </c>
      <c r="Q17" s="52">
        <f t="shared" ca="1" si="3"/>
        <v>3.3967953894316116E-2</v>
      </c>
      <c r="R17" s="52">
        <f ca="1">P17-Q17</f>
        <v>-4.524178296303194E-4</v>
      </c>
    </row>
    <row r="18" spans="1:19">
      <c r="A18" s="46" t="s">
        <v>22</v>
      </c>
      <c r="B18" s="1">
        <v>50</v>
      </c>
      <c r="C18" s="56">
        <v>769627</v>
      </c>
      <c r="D18" s="56">
        <v>888042.4</v>
      </c>
      <c r="E18" s="56">
        <v>118989.32984351824</v>
      </c>
      <c r="F18" s="56">
        <v>9412.8400233326829</v>
      </c>
      <c r="G18" s="48">
        <f t="shared" si="0"/>
        <v>2577302</v>
      </c>
      <c r="H18" s="48">
        <f t="shared" si="0"/>
        <v>3046116.13</v>
      </c>
      <c r="I18" s="48">
        <f t="shared" si="1"/>
        <v>615108.42587567319</v>
      </c>
      <c r="J18" s="48">
        <f t="shared" si="2"/>
        <v>35042.3247725131</v>
      </c>
      <c r="K18" s="48">
        <f t="shared" si="4"/>
        <v>15001677.875653654</v>
      </c>
      <c r="L18" s="48">
        <f t="shared" si="8"/>
        <v>992684.04693558509</v>
      </c>
      <c r="M18" s="34">
        <f t="shared" si="9"/>
        <v>6.6171534621911873E-2</v>
      </c>
      <c r="N18" s="34">
        <f t="shared" si="10"/>
        <v>2.8914885976285266E-2</v>
      </c>
      <c r="O18" s="34">
        <f t="shared" si="5"/>
        <v>4.1002641902739272E-2</v>
      </c>
      <c r="P18" s="34">
        <f t="shared" si="11"/>
        <v>3.7256648645626611E-2</v>
      </c>
      <c r="Q18" s="52">
        <f t="shared" ca="1" si="3"/>
        <v>3.9639315270000371E-2</v>
      </c>
      <c r="R18" s="52">
        <f ca="1">P18-Q18</f>
        <v>-2.3826666243737596E-3</v>
      </c>
    </row>
    <row r="19" spans="1:19">
      <c r="A19" s="46" t="s">
        <v>23</v>
      </c>
      <c r="B19" s="1">
        <v>55</v>
      </c>
      <c r="C19" s="56">
        <v>552402</v>
      </c>
      <c r="D19" s="56">
        <v>708812.3</v>
      </c>
      <c r="E19" s="56">
        <v>97976.651153599392</v>
      </c>
      <c r="F19" s="56">
        <v>4640.0309342114269</v>
      </c>
      <c r="G19" s="48">
        <f t="shared" si="0"/>
        <v>1807675</v>
      </c>
      <c r="H19" s="48">
        <f t="shared" si="0"/>
        <v>2158073.73</v>
      </c>
      <c r="I19" s="48">
        <f t="shared" si="1"/>
        <v>496119.09603215498</v>
      </c>
      <c r="J19" s="48">
        <f t="shared" si="2"/>
        <v>25629.484749180418</v>
      </c>
      <c r="K19" s="48">
        <f t="shared" si="4"/>
        <v>10574924.301308339</v>
      </c>
      <c r="L19" s="48">
        <f t="shared" si="8"/>
        <v>790896.61746451643</v>
      </c>
      <c r="M19" s="34">
        <f t="shared" si="9"/>
        <v>7.478981361281857E-2</v>
      </c>
      <c r="N19" s="34">
        <f t="shared" si="10"/>
        <v>3.0711259579478862E-2</v>
      </c>
      <c r="O19" s="34">
        <f t="shared" si="5"/>
        <v>4.6914671150012362E-2</v>
      </c>
      <c r="P19" s="34">
        <f t="shared" si="11"/>
        <v>4.4078554033339712E-2</v>
      </c>
      <c r="Q19" s="52">
        <f t="shared" ca="1" si="3"/>
        <v>4.607762161541909E-2</v>
      </c>
      <c r="R19" s="52">
        <f ca="1">P19-Q19</f>
        <v>-1.999067582079378E-3</v>
      </c>
    </row>
    <row r="20" spans="1:19">
      <c r="A20" s="46" t="s">
        <v>24</v>
      </c>
      <c r="B20" s="1">
        <v>60</v>
      </c>
      <c r="C20" s="56">
        <v>444592</v>
      </c>
      <c r="D20" s="56">
        <v>491870.6</v>
      </c>
      <c r="E20" s="56">
        <v>88088.109886094622</v>
      </c>
      <c r="F20" s="56">
        <v>5081.1725716458714</v>
      </c>
      <c r="G20" s="48">
        <f t="shared" si="0"/>
        <v>1255273</v>
      </c>
      <c r="H20" s="48">
        <f t="shared" si="0"/>
        <v>1449261.43</v>
      </c>
      <c r="I20" s="48">
        <f>I21+E20</f>
        <v>398142.4448785556</v>
      </c>
      <c r="J20" s="48">
        <f>J21+F20</f>
        <v>20989.453814968991</v>
      </c>
      <c r="K20" s="48">
        <f t="shared" si="4"/>
        <v>7221483.3316749958</v>
      </c>
      <c r="L20" s="48">
        <f t="shared" si="8"/>
        <v>558170.65640522086</v>
      </c>
      <c r="M20" s="34">
        <f t="shared" si="9"/>
        <v>7.7293075503887546E-2</v>
      </c>
      <c r="N20" s="34">
        <f t="shared" si="10"/>
        <v>2.3956155299316391E-2</v>
      </c>
      <c r="O20" s="34">
        <f t="shared" si="5"/>
        <v>5.5133055993111038E-2</v>
      </c>
      <c r="P20" s="34">
        <f>IF(L$3&gt;59,M20-N20,NA())</f>
        <v>5.3336920204571155E-2</v>
      </c>
      <c r="Q20" s="52">
        <f t="shared" ca="1" si="3"/>
        <v>5.5027590749760054E-2</v>
      </c>
      <c r="R20" s="52">
        <f ca="1">IF(L$3&gt;60,P20-Q20,NA())</f>
        <v>-1.6906705451888993E-3</v>
      </c>
    </row>
    <row r="21" spans="1:19">
      <c r="A21" s="49" t="str">
        <f>IF(E21="","", IF(E22="","65+", "   65-69"))</f>
        <v xml:space="preserve">   65-69</v>
      </c>
      <c r="B21" s="1">
        <f>IF(E22="","",65)</f>
        <v>65</v>
      </c>
      <c r="C21" s="56">
        <v>304835</v>
      </c>
      <c r="D21" s="56">
        <v>394304.6</v>
      </c>
      <c r="E21" s="56">
        <v>80450.972586828793</v>
      </c>
      <c r="F21" s="56">
        <v>4922.1846512908869</v>
      </c>
      <c r="G21" s="48">
        <f t="shared" ref="G21:G23" si="12">IF(E21="",,G22+C21)</f>
        <v>810681</v>
      </c>
      <c r="H21" s="48">
        <f>IF(E21="",,H22+D21)</f>
        <v>957390.83</v>
      </c>
      <c r="I21" s="48">
        <f>IF(E21="",,I22+E21)</f>
        <v>310054.33499246096</v>
      </c>
      <c r="J21" s="48">
        <f t="shared" ref="J21:J24" si="13">IF(325="",,J22+F21)</f>
        <v>15908.281243323121</v>
      </c>
      <c r="K21" s="48">
        <f t="shared" si="4"/>
        <v>4716866.4623410115</v>
      </c>
      <c r="L21" s="48">
        <f>IF(E22="","",G$3*(C20*D21)^0.5/5)</f>
        <v>448343.30775723653</v>
      </c>
      <c r="M21" s="34">
        <f>IF(L21="",NA(),L21/K21)</f>
        <v>9.505109193503028E-2</v>
      </c>
      <c r="N21" s="34">
        <f t="shared" si="10"/>
        <v>2.7730602466909608E-2</v>
      </c>
      <c r="O21" s="34">
        <f t="shared" si="5"/>
        <v>6.573311698940465E-2</v>
      </c>
      <c r="P21" s="34">
        <f>IF(L$3&gt;B21-1,M21-N21,NA())</f>
        <v>6.7320489468120664E-2</v>
      </c>
      <c r="Q21" s="52">
        <f t="shared" ca="1" si="3"/>
        <v>6.6571248116770051E-2</v>
      </c>
      <c r="R21" s="52">
        <f ca="1">IF(L$3&gt;65,P21-Q21,NA())</f>
        <v>7.4924135135061298E-4</v>
      </c>
    </row>
    <row r="22" spans="1:19">
      <c r="A22" s="49" t="str">
        <f>IF(E22="","", IF(E23="","70+", "   70-74"))</f>
        <v xml:space="preserve">   70-74</v>
      </c>
      <c r="B22" s="1">
        <f>IF(E23="","",70)</f>
        <v>70</v>
      </c>
      <c r="C22" s="56">
        <v>232604</v>
      </c>
      <c r="D22" s="56">
        <v>241976.3</v>
      </c>
      <c r="E22" s="56">
        <v>72827.474991643627</v>
      </c>
      <c r="F22" s="56">
        <v>4333.9498290688334</v>
      </c>
      <c r="G22" s="48">
        <f t="shared" si="12"/>
        <v>505846</v>
      </c>
      <c r="H22" s="48">
        <f t="shared" ref="H22:H25" si="14">IF(E22="",,H23+D22)</f>
        <v>563086.23</v>
      </c>
      <c r="I22" s="48">
        <f>IF(E22="",,I23+E22)</f>
        <v>229603.36240563219</v>
      </c>
      <c r="J22" s="48">
        <f t="shared" si="13"/>
        <v>10986.096592032234</v>
      </c>
      <c r="K22" s="48">
        <f t="shared" si="4"/>
        <v>2857462.6724365628</v>
      </c>
      <c r="L22" s="48">
        <f>IF(E23="","",G$3*(C21*D22)^0.5/5)</f>
        <v>290825.69765712332</v>
      </c>
      <c r="M22" s="34">
        <f t="shared" ref="M22:M24" si="15">IF(L22="",NA(),L22/K22)</f>
        <v>0.10177760166824359</v>
      </c>
      <c r="N22" s="34">
        <f t="shared" si="10"/>
        <v>1.6187134780146325E-2</v>
      </c>
      <c r="O22" s="34">
        <f t="shared" si="5"/>
        <v>8.0352182592064808E-2</v>
      </c>
      <c r="P22" s="34">
        <f>IF(L$3&gt;B22-1,M22-N22,NA())</f>
        <v>8.5590466888097266E-2</v>
      </c>
      <c r="Q22" s="52">
        <f t="shared" ca="1" si="3"/>
        <v>8.249167389563658E-2</v>
      </c>
      <c r="R22" s="52">
        <f ca="1">IF(L$3&gt;70,P22-Q22,NA())</f>
        <v>3.0987929924606861E-3</v>
      </c>
    </row>
    <row r="23" spans="1:19">
      <c r="A23" s="49" t="str">
        <f>IF(E23="","", IF(E24="","75+", "   75-79"))</f>
        <v xml:space="preserve">   75-79</v>
      </c>
      <c r="B23" s="1">
        <f>IF(E24="","",75)</f>
        <v>75</v>
      </c>
      <c r="C23" s="56">
        <v>136466</v>
      </c>
      <c r="D23" s="56">
        <v>163112.35999999999</v>
      </c>
      <c r="E23" s="56">
        <v>59632.320370714682</v>
      </c>
      <c r="F23" s="56">
        <v>2980.3991583511752</v>
      </c>
      <c r="G23" s="48">
        <f t="shared" si="12"/>
        <v>273242</v>
      </c>
      <c r="H23" s="48">
        <f t="shared" si="14"/>
        <v>321109.93</v>
      </c>
      <c r="I23" s="48">
        <f>IF(E23="",,I24+E23)</f>
        <v>156775.88741398856</v>
      </c>
      <c r="J23" s="48">
        <f t="shared" si="13"/>
        <v>6652.1467629633999</v>
      </c>
      <c r="K23" s="48">
        <f t="shared" si="4"/>
        <v>1585931.9482121137</v>
      </c>
      <c r="L23" s="48">
        <f>IF(E24="","",G$3*(C22*D23)^0.5/5)</f>
        <v>208576.78695688138</v>
      </c>
      <c r="M23" s="34">
        <f t="shared" si="15"/>
        <v>0.13151685807957811</v>
      </c>
      <c r="N23" s="34">
        <f t="shared" si="10"/>
        <v>2.5988368090762558E-2</v>
      </c>
      <c r="O23" s="34">
        <f t="shared" si="5"/>
        <v>9.8854107574242678E-2</v>
      </c>
      <c r="P23" s="34">
        <f>IF(L$3&gt;B23-1,M23-N23,NA())</f>
        <v>0.10552848998881555</v>
      </c>
      <c r="Q23" s="52">
        <f t="shared" ca="1" si="3"/>
        <v>0.10264060348189685</v>
      </c>
      <c r="R23" s="52">
        <f ca="1">IF(L$3&gt;75,P23-Q23,NA())</f>
        <v>2.8878865069186938E-3</v>
      </c>
    </row>
    <row r="24" spans="1:19">
      <c r="A24" s="49" t="str">
        <f>IF(E24="","", IF(E25="","80+", "   80-84"))</f>
        <v xml:space="preserve">   80-84</v>
      </c>
      <c r="B24" s="1">
        <f>IF(E25="","",80)</f>
        <v>80</v>
      </c>
      <c r="C24" s="56">
        <v>90856</v>
      </c>
      <c r="D24" s="56">
        <v>87698.19</v>
      </c>
      <c r="E24" s="56">
        <v>45364.541738612061</v>
      </c>
      <c r="F24" s="56">
        <v>1662.3054081481939</v>
      </c>
      <c r="G24" s="48">
        <f>IF(E24="",,G25+C24)</f>
        <v>136776</v>
      </c>
      <c r="H24" s="48">
        <f t="shared" si="14"/>
        <v>157997.57</v>
      </c>
      <c r="I24" s="48">
        <f>IF(E24="",,I25+E24)</f>
        <v>97143.567043273884</v>
      </c>
      <c r="J24" s="48">
        <f t="shared" si="13"/>
        <v>3671.7476046122247</v>
      </c>
      <c r="K24" s="48">
        <f t="shared" si="4"/>
        <v>787071.35245074029</v>
      </c>
      <c r="L24" s="48">
        <f>IF(E25="","",G$3*(C23*D24)^0.5/5)</f>
        <v>117144.38965407445</v>
      </c>
      <c r="M24" s="34">
        <f t="shared" si="15"/>
        <v>0.14883579397130459</v>
      </c>
      <c r="N24" s="34">
        <f t="shared" si="10"/>
        <v>2.2297625673634407E-2</v>
      </c>
      <c r="O24" s="34">
        <f>IF(L24="",NA(),I24/K24)</f>
        <v>0.12342409203535802</v>
      </c>
      <c r="P24" s="34">
        <f>IF(L$3&gt;B24-1,M24-N24,NA())</f>
        <v>0.12653816829767017</v>
      </c>
      <c r="Q24" s="52">
        <f t="shared" ca="1" si="3"/>
        <v>0.12939775914647728</v>
      </c>
      <c r="R24" s="52">
        <f ca="1">IF(L$3&gt;80,P24-Q24,NA())</f>
        <v>-2.8595908488071031E-3</v>
      </c>
    </row>
    <row r="25" spans="1:19">
      <c r="A25" s="49" t="str">
        <f>IF(E25="","","85+")</f>
        <v>85+</v>
      </c>
      <c r="C25" s="56">
        <v>45920</v>
      </c>
      <c r="D25" s="56">
        <v>70299.38</v>
      </c>
      <c r="E25" s="56">
        <v>51779.025304661831</v>
      </c>
      <c r="F25" s="56">
        <v>2009.4421964640305</v>
      </c>
      <c r="G25" s="48">
        <f>IF(E25="",,G26+C25)</f>
        <v>45920</v>
      </c>
      <c r="H25" s="48">
        <f t="shared" si="14"/>
        <v>70299.38</v>
      </c>
      <c r="I25" s="48">
        <f>IF(E25="",,I26+E25)</f>
        <v>51779.025304661831</v>
      </c>
      <c r="J25" s="48">
        <f>IF(325="",,J26+F25)</f>
        <v>2009.4421964640305</v>
      </c>
      <c r="K25" s="48">
        <f t="shared" si="4"/>
        <v>304201.00138967356</v>
      </c>
      <c r="L25" s="48"/>
      <c r="M25" s="41"/>
      <c r="N25" s="34"/>
    </row>
    <row r="26" spans="1:19">
      <c r="A26" s="46"/>
      <c r="C26" s="47"/>
      <c r="D26" s="47"/>
      <c r="E26" s="47"/>
      <c r="F26" s="47"/>
    </row>
    <row r="27" spans="1:19">
      <c r="A27" s="46" t="s">
        <v>25</v>
      </c>
      <c r="C27" s="47">
        <f>SUM(C8:C25)</f>
        <v>21434045</v>
      </c>
      <c r="D27" s="47">
        <f>SUM(D8:D25)</f>
        <v>23348678.830000002</v>
      </c>
      <c r="E27" s="47">
        <f>SUM(E8:E25)</f>
        <v>1691548.2487148491</v>
      </c>
      <c r="F27" s="47">
        <f>SUM(F8:F25)</f>
        <v>128945.72194581402</v>
      </c>
      <c r="G27" s="41"/>
      <c r="H27" s="41"/>
      <c r="I27" s="41"/>
      <c r="J27" s="41"/>
      <c r="K27" s="41"/>
      <c r="L27" s="34"/>
      <c r="M27" s="41"/>
      <c r="N27" s="41"/>
      <c r="P27" s="1" t="s">
        <v>30</v>
      </c>
      <c r="Q27" s="1">
        <f ca="1">AVERAGE(INDIRECT(ADDRESS(ROW(P8)+L2/5,P7)):INDIRECT(ADDRESS(ROW(P8)+L3/5,P7)))-AVERAGE(INDIRECT(ADDRESS(ROW(O8)+L2/5,O7)):INDIRECT(ADDRESS(ROW(O8)+L3/5,O7)))*Q32</f>
        <v>-5.0133003548464145E-3</v>
      </c>
    </row>
    <row r="28" spans="1:19">
      <c r="L28" s="34"/>
      <c r="P28" s="1" t="s">
        <v>26</v>
      </c>
      <c r="Q28" s="1">
        <f ca="1">EXP(G3*Q27)</f>
        <v>0.97351547766933733</v>
      </c>
      <c r="R28" s="50"/>
    </row>
    <row r="29" spans="1:19">
      <c r="E29" s="41"/>
      <c r="F29" s="41"/>
      <c r="L29" s="34"/>
      <c r="P29" s="1" t="s">
        <v>27</v>
      </c>
      <c r="Q29" s="1">
        <f ca="1">IF(Q28&gt;1,1,Q28)</f>
        <v>0.97351547766933733</v>
      </c>
      <c r="S29" s="51"/>
    </row>
    <row r="30" spans="1:19">
      <c r="C30" s="41"/>
      <c r="D30" s="41"/>
      <c r="E30" s="41"/>
      <c r="F30" s="41"/>
      <c r="L30" s="34"/>
      <c r="P30" s="1" t="s">
        <v>28</v>
      </c>
      <c r="Q30" s="1">
        <f t="shared" ref="Q30" ca="1" si="16">Q29/Q28</f>
        <v>1</v>
      </c>
      <c r="S30" s="51"/>
    </row>
    <row r="31" spans="1:19">
      <c r="C31" s="34"/>
      <c r="E31" s="34"/>
      <c r="L31" s="34"/>
      <c r="P31" s="1" t="s">
        <v>29</v>
      </c>
      <c r="Q31" s="1">
        <f t="shared" ref="Q31" ca="1" si="17">Q29*Q30</f>
        <v>0.97351547766933733</v>
      </c>
    </row>
    <row r="32" spans="1:19">
      <c r="C32" s="34"/>
      <c r="E32" s="34"/>
      <c r="L32" s="34"/>
      <c r="M32" s="34"/>
      <c r="O32" s="34"/>
      <c r="P32" s="1" t="s">
        <v>31</v>
      </c>
      <c r="Q32" s="1">
        <f ca="1">STDEV(INDIRECT(ADDRESS(ROW(P8)+L2/5,P7)):INDIRECT(ADDRESS(ROW(P8)+L3/5,P7)))/STDEV(INDIRECT(ADDRESS(ROW(O8)+L2/5,O7)):INDIRECT(ADDRESS(ROW(O8)+L3/5,O7)))</f>
        <v>1.0890180132969352</v>
      </c>
    </row>
    <row r="33" spans="2:18">
      <c r="C33" s="34"/>
      <c r="E33" s="34"/>
      <c r="L33" s="34"/>
      <c r="M33" s="34"/>
      <c r="O33" s="34"/>
      <c r="P33" s="57" t="s">
        <v>78</v>
      </c>
      <c r="Q33" s="58">
        <f ca="1">SQRT(Q31)/Q32</f>
        <v>0.90601704232604086</v>
      </c>
    </row>
    <row r="34" spans="2:18">
      <c r="B34" s="34"/>
      <c r="C34" s="34"/>
      <c r="D34" s="34"/>
      <c r="E34" s="34"/>
      <c r="L34" s="34"/>
    </row>
    <row r="35" spans="2:18">
      <c r="L35" s="34"/>
      <c r="Q35" s="2"/>
    </row>
    <row r="36" spans="2:18">
      <c r="L36" s="34"/>
    </row>
    <row r="37" spans="2:18">
      <c r="L37" s="34"/>
      <c r="Q37" s="93"/>
    </row>
    <row r="38" spans="2:18">
      <c r="L38" s="34"/>
      <c r="Q38" s="93"/>
    </row>
    <row r="39" spans="2:18">
      <c r="L39" s="34"/>
      <c r="Q39" s="34"/>
      <c r="R39" s="34"/>
    </row>
    <row r="40" spans="2:18">
      <c r="L40" s="34"/>
    </row>
    <row r="41" spans="2:18">
      <c r="L41" s="34"/>
    </row>
    <row r="42" spans="2:18">
      <c r="L42" s="34"/>
    </row>
    <row r="43" spans="2:18">
      <c r="L43" s="34"/>
    </row>
    <row r="44" spans="2:18">
      <c r="L44" s="34"/>
    </row>
    <row r="45" spans="2:18">
      <c r="L45" s="34"/>
    </row>
  </sheetData>
  <sheetProtection sheet="1" objects="1" scenarios="1"/>
  <protectedRanges>
    <protectedRange sqref="L2:L3" name="Range2"/>
    <protectedRange sqref="C8:F25" name="Range1"/>
  </protectedRanges>
  <pageMargins left="0.75" right="0.75" top="1" bottom="1" header="0.5" footer="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8"/>
  <sheetViews>
    <sheetView zoomScaleNormal="100" workbookViewId="0">
      <selection activeCell="I1" sqref="I1"/>
    </sheetView>
  </sheetViews>
  <sheetFormatPr defaultColWidth="9.140625" defaultRowHeight="12.75"/>
  <cols>
    <col min="1" max="1" width="9.28515625" style="33" bestFit="1" customWidth="1"/>
    <col min="2" max="3" width="11.85546875" style="33" customWidth="1"/>
    <col min="4" max="4" width="11.28515625" style="33" customWidth="1"/>
    <col min="5" max="5" width="11.42578125" style="33" customWidth="1"/>
    <col min="6" max="6" width="9.28515625" style="33" bestFit="1" customWidth="1"/>
    <col min="7" max="7" width="6.7109375" style="33" customWidth="1"/>
    <col min="8" max="9" width="9.28515625" style="33" bestFit="1" customWidth="1"/>
    <col min="10" max="10" width="9.7109375" style="33" bestFit="1" customWidth="1"/>
    <col min="11" max="11" width="9.85546875" style="33" customWidth="1"/>
    <col min="12" max="12" width="9.7109375" style="33" bestFit="1" customWidth="1"/>
    <col min="13" max="13" width="9.140625" style="33" customWidth="1"/>
    <col min="14" max="14" width="9.7109375" style="33" bestFit="1" customWidth="1"/>
    <col min="15" max="15" width="10.140625" style="33" customWidth="1"/>
    <col min="16" max="16" width="9.28515625" style="33" bestFit="1" customWidth="1"/>
    <col min="17" max="17" width="10.28515625" style="33" customWidth="1"/>
    <col min="18" max="18" width="5.85546875" style="33" customWidth="1"/>
    <col min="19" max="16384" width="9.140625" style="33"/>
  </cols>
  <sheetData>
    <row r="1" spans="1:31">
      <c r="A1" s="1" t="s">
        <v>70</v>
      </c>
      <c r="B1" s="4" t="str">
        <f>Introduction!D9</f>
        <v>Afrique du sud</v>
      </c>
      <c r="C1" s="4"/>
      <c r="D1" s="4"/>
      <c r="E1" s="4"/>
      <c r="F1" s="4"/>
      <c r="G1" s="4"/>
      <c r="H1" s="4"/>
      <c r="I1" s="4"/>
      <c r="J1" s="61"/>
      <c r="K1" s="4"/>
      <c r="L1" s="4"/>
      <c r="M1" s="4"/>
      <c r="N1" s="4"/>
      <c r="O1" s="62" t="s">
        <v>82</v>
      </c>
      <c r="P1" s="63"/>
      <c r="Q1" s="63"/>
      <c r="R1" s="4"/>
    </row>
    <row r="2" spans="1:31">
      <c r="A2" s="1"/>
      <c r="B2" s="4"/>
      <c r="C2" s="4"/>
      <c r="D2" s="4"/>
      <c r="E2" s="4"/>
      <c r="F2" s="4"/>
      <c r="G2" s="4"/>
      <c r="H2" s="4"/>
      <c r="I2" s="4"/>
      <c r="J2" s="61"/>
      <c r="K2" s="113" t="s">
        <v>80</v>
      </c>
      <c r="L2" s="64">
        <v>45</v>
      </c>
      <c r="M2" s="65" t="s">
        <v>2</v>
      </c>
      <c r="N2" s="66">
        <f ca="1">INTERCEPT(INDIRECT(ADDRESS(ROW(J7)+L2/5,J6)):INDIRECT(ADDRESS(ROW(J7)+L3/5,J6)),INDIRECT(ADDRESS(ROW(L7)+L2/5,L6)):INDIRECT(ADDRESS(ROW(L7)+L3/5,L6)))</f>
        <v>0.25330257054876293</v>
      </c>
      <c r="O2" s="63" t="s">
        <v>3</v>
      </c>
      <c r="P2" s="67">
        <f ca="1">1-N19/N10</f>
        <v>0.54816478589366269</v>
      </c>
      <c r="Q2" s="67"/>
      <c r="R2" s="4"/>
    </row>
    <row r="3" spans="1:31">
      <c r="A3" s="1" t="s">
        <v>71</v>
      </c>
      <c r="B3" s="4" t="str">
        <f>Introduction!D10</f>
        <v>Homme</v>
      </c>
      <c r="C3" s="4"/>
      <c r="D3" s="4"/>
      <c r="E3" s="4"/>
      <c r="F3" s="4"/>
      <c r="G3" s="4"/>
      <c r="H3" s="4"/>
      <c r="I3" s="4"/>
      <c r="J3" s="61"/>
      <c r="K3" s="113" t="s">
        <v>81</v>
      </c>
      <c r="L3" s="64">
        <v>80</v>
      </c>
      <c r="M3" s="65" t="s">
        <v>10</v>
      </c>
      <c r="N3" s="66">
        <f ca="1">SLOPE(INDIRECT(ADDRESS(ROW(J7)+L2/5,J6)):INDIRECT(ADDRESS(ROW(J7)+L3/5,J6)),INDIRECT(ADDRESS(ROW(L7)+L2/5,L6)):INDIRECT(ADDRESS(ROW(L7)+L3/5,L6)))</f>
        <v>1.1381254641341747</v>
      </c>
      <c r="O3" s="63" t="s">
        <v>11</v>
      </c>
      <c r="P3" s="67">
        <f ca="1">1-N17/N10</f>
        <v>0.42073106547710826</v>
      </c>
      <c r="Q3" s="67"/>
      <c r="R3" s="4"/>
    </row>
    <row r="4" spans="1:31">
      <c r="A4" s="4"/>
      <c r="B4" s="4"/>
      <c r="C4" s="4"/>
      <c r="D4" s="4"/>
      <c r="E4" s="4"/>
      <c r="F4" s="4"/>
      <c r="G4" s="4"/>
      <c r="H4" s="4"/>
      <c r="I4" s="4"/>
      <c r="J4" s="61"/>
      <c r="K4" s="4"/>
      <c r="L4" s="4"/>
      <c r="M4" s="4"/>
      <c r="N4" s="4"/>
      <c r="O4" s="4"/>
      <c r="P4" s="4"/>
      <c r="Q4" s="4"/>
      <c r="R4" s="4"/>
    </row>
    <row r="5" spans="1:31" ht="42.75" customHeight="1">
      <c r="A5" s="68" t="s">
        <v>1</v>
      </c>
      <c r="B5" s="69" t="s">
        <v>83</v>
      </c>
      <c r="C5" s="69" t="s">
        <v>84</v>
      </c>
      <c r="D5" s="114" t="s">
        <v>85</v>
      </c>
      <c r="E5" s="70" t="s">
        <v>86</v>
      </c>
      <c r="F5" s="70" t="s">
        <v>87</v>
      </c>
      <c r="G5" s="71" t="s">
        <v>0</v>
      </c>
      <c r="H5" s="72" t="s">
        <v>43</v>
      </c>
      <c r="I5" s="72" t="s">
        <v>44</v>
      </c>
      <c r="J5" s="73" t="s">
        <v>45</v>
      </c>
      <c r="K5" s="70" t="str">
        <f>Modèles!B23&amp;" Cdn. ls(x)"</f>
        <v>SIDA Cdn. ls(x)</v>
      </c>
      <c r="L5" s="74" t="s">
        <v>46</v>
      </c>
      <c r="M5" s="74" t="s">
        <v>88</v>
      </c>
      <c r="N5" s="75" t="s">
        <v>89</v>
      </c>
      <c r="O5" s="76" t="s">
        <v>47</v>
      </c>
      <c r="P5" s="77" t="s">
        <v>48</v>
      </c>
      <c r="Q5" s="78" t="s">
        <v>90</v>
      </c>
      <c r="R5" s="72" t="s">
        <v>1</v>
      </c>
    </row>
    <row r="6" spans="1:31">
      <c r="A6" s="79">
        <f>COLUMN()</f>
        <v>1</v>
      </c>
      <c r="B6" s="79">
        <f>COLUMN()</f>
        <v>2</v>
      </c>
      <c r="C6" s="79"/>
      <c r="D6" s="79">
        <f>COLUMN()</f>
        <v>4</v>
      </c>
      <c r="E6" s="79">
        <f>COLUMN()</f>
        <v>5</v>
      </c>
      <c r="F6" s="79">
        <f>COLUMN()</f>
        <v>6</v>
      </c>
      <c r="G6" s="79">
        <f>COLUMN()</f>
        <v>7</v>
      </c>
      <c r="H6" s="79">
        <f>COLUMN()</f>
        <v>8</v>
      </c>
      <c r="I6" s="79">
        <f>COLUMN()</f>
        <v>9</v>
      </c>
      <c r="J6" s="79">
        <f>COLUMN()</f>
        <v>10</v>
      </c>
      <c r="K6" s="79">
        <f>COLUMN()</f>
        <v>11</v>
      </c>
      <c r="L6" s="79">
        <f>COLUMN()</f>
        <v>12</v>
      </c>
      <c r="M6" s="79">
        <f>COLUMN()</f>
        <v>13</v>
      </c>
      <c r="N6" s="79">
        <f>COLUMN()</f>
        <v>14</v>
      </c>
      <c r="O6" s="79">
        <f>COLUMN()</f>
        <v>15</v>
      </c>
      <c r="P6" s="79">
        <f>COLUMN()</f>
        <v>16</v>
      </c>
      <c r="Q6" s="79">
        <f>COLUMN()</f>
        <v>17</v>
      </c>
      <c r="R6" s="79">
        <f>COLUMN()</f>
        <v>18</v>
      </c>
    </row>
    <row r="7" spans="1:31">
      <c r="A7" s="80" t="s">
        <v>12</v>
      </c>
      <c r="B7" s="81"/>
      <c r="C7" s="81"/>
      <c r="D7" s="81"/>
      <c r="E7" s="81"/>
      <c r="F7" s="82"/>
      <c r="G7" s="4">
        <v>0</v>
      </c>
      <c r="H7" s="4"/>
      <c r="I7" s="4"/>
      <c r="J7" s="4"/>
      <c r="K7" s="4"/>
      <c r="L7" s="4"/>
      <c r="M7" s="4"/>
      <c r="N7" s="4"/>
      <c r="O7" s="4"/>
      <c r="P7" s="4"/>
      <c r="Q7" s="4"/>
      <c r="R7" s="4">
        <v>0</v>
      </c>
      <c r="AD7" s="4"/>
      <c r="AE7" s="4"/>
    </row>
    <row r="8" spans="1:31">
      <c r="A8" s="80" t="s">
        <v>13</v>
      </c>
      <c r="B8" s="81">
        <f ca="1">Méthode!C9/Méthode!Q$29</f>
        <v>2491040.0046291756</v>
      </c>
      <c r="C8" s="81">
        <f ca="1">Méthode!D9/Méthode!Q$30</f>
        <v>2560641.9</v>
      </c>
      <c r="D8" s="81">
        <f ca="1">Méthode!E9/Méthode!Q$33</f>
        <v>25035.982898208342</v>
      </c>
      <c r="E8" s="81">
        <f ca="1">Méthode!G$3*('Taux de mortalité'!B8*'Taux de mortalité'!C8)^0.5</f>
        <v>13522242.719939854</v>
      </c>
      <c r="F8" s="82">
        <f t="shared" ref="F8:F20" ca="1" si="0">D8/E8</f>
        <v>1.8514667586383704E-3</v>
      </c>
      <c r="G8" s="4">
        <v>5</v>
      </c>
      <c r="H8" s="83">
        <f ca="1">5*F8/(1+2.5*F8)</f>
        <v>9.214682099196644E-3</v>
      </c>
      <c r="I8" s="4">
        <v>1</v>
      </c>
      <c r="J8" s="4"/>
      <c r="K8" s="84">
        <f>Modèles!D26</f>
        <v>1</v>
      </c>
      <c r="L8" s="4"/>
      <c r="M8" s="4"/>
      <c r="N8" s="85">
        <v>1</v>
      </c>
      <c r="O8" s="86">
        <f t="shared" ref="O8:O24" ca="1" si="1">O9+2.5*(N9+N8)</f>
        <v>49.410520202541122</v>
      </c>
      <c r="P8" s="87">
        <f t="shared" ref="P8:P24" ca="1" si="2">O8/N8</f>
        <v>49.410520202541122</v>
      </c>
      <c r="Q8" s="82">
        <f t="shared" ref="Q8:Q24" ca="1" si="3">(N8-N9)/(2.5*(N8+N9))</f>
        <v>4.2667525903266057E-3</v>
      </c>
      <c r="R8" s="4">
        <v>5</v>
      </c>
    </row>
    <row r="9" spans="1:31">
      <c r="A9" s="80" t="s">
        <v>14</v>
      </c>
      <c r="B9" s="81">
        <f ca="1">Méthode!C10/Méthode!Q$29</f>
        <v>2587514.0742812045</v>
      </c>
      <c r="C9" s="81">
        <f ca="1">Méthode!D10/Méthode!Q$30</f>
        <v>2452338.7999999998</v>
      </c>
      <c r="D9" s="81">
        <f ca="1">Méthode!E10/Méthode!Q$33</f>
        <v>18169.687128491998</v>
      </c>
      <c r="E9" s="81">
        <f ca="1">Méthode!G$3*('Taux de mortalité'!B9*'Taux de mortalité'!C9)^0.5</f>
        <v>13487005.895484071</v>
      </c>
      <c r="F9" s="82">
        <f t="shared" ca="1" si="0"/>
        <v>1.347199465121896E-3</v>
      </c>
      <c r="G9" s="4">
        <v>10</v>
      </c>
      <c r="H9" s="83">
        <f t="shared" ref="H9:H19" ca="1" si="4">5*F9/(1+2.5*F9)</f>
        <v>6.7133866483549288E-3</v>
      </c>
      <c r="I9" s="83">
        <f t="shared" ref="I9:I25" ca="1" si="5">I8*(1-H8)</f>
        <v>0.99078531790080338</v>
      </c>
      <c r="J9" s="66">
        <f t="shared" ref="J9:J25" ca="1" si="6">IF(I9=0,NA(),0.5*LN((1-I9)/I9))</f>
        <v>-2.3388498933690314</v>
      </c>
      <c r="K9" s="84">
        <f>Modèles!D27</f>
        <v>0.97846334922721911</v>
      </c>
      <c r="L9" s="66">
        <f>0.5*LN((K$8-K9)/K9)</f>
        <v>-1.9081135795731925</v>
      </c>
      <c r="M9" s="66">
        <f t="shared" ref="M9:M27" ca="1" si="7">N$2+N$3*L9</f>
        <v>-1.918370082823698</v>
      </c>
      <c r="N9" s="88">
        <f ca="1">(1/(1+EXP(2*M9)))</f>
        <v>0.97889139998287011</v>
      </c>
      <c r="O9" s="86">
        <f t="shared" ca="1" si="1"/>
        <v>44.463291702583945</v>
      </c>
      <c r="P9" s="87">
        <f t="shared" ca="1" si="2"/>
        <v>45.422088398531258</v>
      </c>
      <c r="Q9" s="82">
        <f t="shared" ca="1" si="3"/>
        <v>3.6485611047613513E-3</v>
      </c>
      <c r="R9" s="4">
        <v>10</v>
      </c>
    </row>
    <row r="10" spans="1:31">
      <c r="A10" s="80" t="s">
        <v>15</v>
      </c>
      <c r="B10" s="81">
        <f ca="1">Méthode!C11/Méthode!Q$29</f>
        <v>2519894.1940533123</v>
      </c>
      <c r="C10" s="81">
        <f ca="1">Méthode!D11/Méthode!Q$30</f>
        <v>2553292.9</v>
      </c>
      <c r="D10" s="81">
        <f ca="1">Méthode!E11/Méthode!Q$33</f>
        <v>41956.009249682276</v>
      </c>
      <c r="E10" s="81">
        <f ca="1">Méthode!G$3*('Taux de mortalité'!B10*'Taux de mortalité'!C10)^0.5</f>
        <v>13580802.203110388</v>
      </c>
      <c r="F10" s="82">
        <f t="shared" ca="1" si="0"/>
        <v>3.0893616313823614E-3</v>
      </c>
      <c r="G10" s="4">
        <v>15</v>
      </c>
      <c r="H10" s="83">
        <f ca="1">5*F10/(1+2.5*F10)</f>
        <v>1.5328420570957783E-2</v>
      </c>
      <c r="I10" s="83">
        <f t="shared" ca="1" si="5"/>
        <v>0.98413379297622194</v>
      </c>
      <c r="J10" s="66">
        <f t="shared" ca="1" si="6"/>
        <v>-2.0637851766105575</v>
      </c>
      <c r="K10" s="84">
        <f>Modèles!D28</f>
        <v>0.96321636510484787</v>
      </c>
      <c r="L10" s="66">
        <f t="shared" ref="L10:L27" si="8">0.5*LN((K$8-K10)/K10)</f>
        <v>-1.6326125112156291</v>
      </c>
      <c r="M10" s="66">
        <f t="shared" ca="1" si="7"/>
        <v>-1.6048153015297855</v>
      </c>
      <c r="N10" s="88">
        <f t="shared" ref="N10:N27" ca="1" si="9">(1/(1+EXP(2*M10)))</f>
        <v>0.96119508971738676</v>
      </c>
      <c r="O10" s="86">
        <f t="shared" ca="1" si="1"/>
        <v>39.6130754783333</v>
      </c>
      <c r="P10" s="87">
        <f t="shared" ca="1" si="2"/>
        <v>41.21231569127184</v>
      </c>
      <c r="Q10" s="82">
        <f t="shared" ca="1" si="3"/>
        <v>3.0680303317786534E-3</v>
      </c>
      <c r="R10" s="4">
        <v>15</v>
      </c>
    </row>
    <row r="11" spans="1:31">
      <c r="A11" s="80" t="s">
        <v>16</v>
      </c>
      <c r="B11" s="81">
        <f ca="1">Méthode!C12/Méthode!Q$29</f>
        <v>2156531.712290952</v>
      </c>
      <c r="C11" s="81">
        <f ca="1">Méthode!D12/Méthode!Q$30</f>
        <v>2362519</v>
      </c>
      <c r="D11" s="81">
        <f ca="1">Méthode!E12/Méthode!Q$33</f>
        <v>82707.244860667328</v>
      </c>
      <c r="E11" s="81">
        <f ca="1">Méthode!G$3*('Taux de mortalité'!B11*'Taux de mortalité'!C11)^0.5</f>
        <v>12085080.055941954</v>
      </c>
      <c r="F11" s="82">
        <f t="shared" ca="1" si="0"/>
        <v>6.8437481984243943E-3</v>
      </c>
      <c r="G11" s="4">
        <v>20</v>
      </c>
      <c r="H11" s="83">
        <f t="shared" ca="1" si="4"/>
        <v>3.364312824630937E-2</v>
      </c>
      <c r="I11" s="83">
        <f t="shared" ca="1" si="5"/>
        <v>0.96904857629939056</v>
      </c>
      <c r="J11" s="66">
        <f t="shared" ca="1" si="6"/>
        <v>-1.7219478714409417</v>
      </c>
      <c r="K11" s="84">
        <f>Modèles!D29</f>
        <v>0.95122864220369541</v>
      </c>
      <c r="L11" s="66">
        <f t="shared" si="8"/>
        <v>-1.4853056232155615</v>
      </c>
      <c r="M11" s="66">
        <f t="shared" ca="1" si="7"/>
        <v>-1.4371615812545477</v>
      </c>
      <c r="N11" s="88">
        <f t="shared" ca="1" si="9"/>
        <v>0.94656244476371854</v>
      </c>
      <c r="O11" s="86">
        <f t="shared" ca="1" si="1"/>
        <v>34.843681642130541</v>
      </c>
      <c r="P11" s="87">
        <f t="shared" ca="1" si="2"/>
        <v>36.810758587436077</v>
      </c>
      <c r="Q11" s="82">
        <f t="shared" ca="1" si="3"/>
        <v>5.1020332051858672E-3</v>
      </c>
      <c r="R11" s="4">
        <v>20</v>
      </c>
    </row>
    <row r="12" spans="1:31">
      <c r="A12" s="80" t="s">
        <v>17</v>
      </c>
      <c r="B12" s="81">
        <f ca="1">Méthode!C13/Méthode!Q$29</f>
        <v>1950944.8422402018</v>
      </c>
      <c r="C12" s="81">
        <f ca="1">Méthode!D13/Méthode!Q$30</f>
        <v>2033165.3</v>
      </c>
      <c r="D12" s="81">
        <f ca="1">Méthode!E13/Méthode!Q$33</f>
        <v>137307.82442546438</v>
      </c>
      <c r="E12" s="81">
        <f ca="1">Méthode!G$3*('Taux de mortalité'!B12*'Taux de mortalité'!C12)^0.5</f>
        <v>10663328.592571175</v>
      </c>
      <c r="F12" s="82">
        <f t="shared" ca="1" si="0"/>
        <v>1.2876638212304803E-2</v>
      </c>
      <c r="G12" s="4">
        <v>25</v>
      </c>
      <c r="H12" s="83">
        <f t="shared" ca="1" si="4"/>
        <v>6.2375232796211252E-2</v>
      </c>
      <c r="I12" s="83">
        <f t="shared" ca="1" si="5"/>
        <v>0.93644675077004669</v>
      </c>
      <c r="J12" s="66">
        <f t="shared" ca="1" si="6"/>
        <v>-1.3451072676966076</v>
      </c>
      <c r="K12" s="84">
        <f>Modèles!D30</f>
        <v>0.93239300666569136</v>
      </c>
      <c r="L12" s="66">
        <f t="shared" si="8"/>
        <v>-1.3120214886929051</v>
      </c>
      <c r="M12" s="66">
        <f t="shared" ca="1" si="7"/>
        <v>-1.2399424952238607</v>
      </c>
      <c r="N12" s="88">
        <f t="shared" ca="1" si="9"/>
        <v>0.92271959714453466</v>
      </c>
      <c r="O12" s="86">
        <f t="shared" ca="1" si="1"/>
        <v>30.17047653735991</v>
      </c>
      <c r="P12" s="87">
        <f t="shared" ca="1" si="2"/>
        <v>32.697340156994642</v>
      </c>
      <c r="Q12" s="82">
        <f t="shared" ca="1" si="3"/>
        <v>1.0370636018074168E-2</v>
      </c>
      <c r="R12" s="4">
        <v>25</v>
      </c>
    </row>
    <row r="13" spans="1:31">
      <c r="A13" s="80" t="s">
        <v>18</v>
      </c>
      <c r="B13" s="81">
        <f ca="1">Méthode!C14/Méthode!Q$29</f>
        <v>1638005.8012201707</v>
      </c>
      <c r="C13" s="81">
        <f ca="1">Méthode!D14/Méthode!Q$30</f>
        <v>1875482.6</v>
      </c>
      <c r="D13" s="81">
        <f ca="1">Méthode!E14/Méthode!Q$33</f>
        <v>166433.5262656206</v>
      </c>
      <c r="E13" s="81">
        <f ca="1">Méthode!G$3*('Taux de mortalité'!B13*'Taux de mortalité'!C13)^0.5</f>
        <v>9384220.1948411427</v>
      </c>
      <c r="F13" s="82">
        <f t="shared" ca="1" si="0"/>
        <v>1.7735466859261823E-2</v>
      </c>
      <c r="G13" s="4">
        <v>30</v>
      </c>
      <c r="H13" s="83">
        <f t="shared" ca="1" si="4"/>
        <v>8.4912430311965992E-2</v>
      </c>
      <c r="I13" s="83">
        <f t="shared" ca="1" si="5"/>
        <v>0.87803566668950939</v>
      </c>
      <c r="J13" s="66">
        <f t="shared" ca="1" si="6"/>
        <v>-0.9869792816932802</v>
      </c>
      <c r="K13" s="84">
        <f>Modèles!D31</f>
        <v>0.89693312918052914</v>
      </c>
      <c r="L13" s="66">
        <f t="shared" si="8"/>
        <v>-1.0818016505220522</v>
      </c>
      <c r="M13" s="66">
        <f t="shared" ca="1" si="7"/>
        <v>-0.97792343505276402</v>
      </c>
      <c r="N13" s="88">
        <f t="shared" ca="1" si="9"/>
        <v>0.876082785205054</v>
      </c>
      <c r="O13" s="86">
        <f t="shared" ca="1" si="1"/>
        <v>25.673470581485937</v>
      </c>
      <c r="P13" s="87">
        <f t="shared" ca="1" si="2"/>
        <v>29.304845403938465</v>
      </c>
      <c r="Q13" s="82">
        <f t="shared" ca="1" si="3"/>
        <v>1.7714047172122493E-2</v>
      </c>
      <c r="R13" s="4">
        <v>30</v>
      </c>
    </row>
    <row r="14" spans="1:31">
      <c r="A14" s="80" t="s">
        <v>19</v>
      </c>
      <c r="B14" s="81">
        <f ca="1">Méthode!C15/Méthode!Q$29</f>
        <v>1480877.3286804084</v>
      </c>
      <c r="C14" s="81">
        <f ca="1">Méthode!D15/Méthode!Q$30</f>
        <v>1548185.2</v>
      </c>
      <c r="D14" s="81">
        <f ca="1">Méthode!E15/Méthode!Q$33</f>
        <v>175510.75306057438</v>
      </c>
      <c r="E14" s="81">
        <f ca="1">Méthode!G$3*('Taux de mortalité'!B14*'Taux de mortalité'!C14)^0.5</f>
        <v>8106902.5057737604</v>
      </c>
      <c r="F14" s="82">
        <f t="shared" ca="1" si="0"/>
        <v>2.1649545302361177E-2</v>
      </c>
      <c r="G14" s="4">
        <v>35</v>
      </c>
      <c r="H14" s="83">
        <f t="shared" ca="1" si="4"/>
        <v>0.10268975998461699</v>
      </c>
      <c r="I14" s="83">
        <f t="shared" ca="1" si="5"/>
        <v>0.80347952433031589</v>
      </c>
      <c r="J14" s="66">
        <f t="shared" ca="1" si="6"/>
        <v>-0.70409253699614871</v>
      </c>
      <c r="K14" s="84">
        <f>Modèles!D32</f>
        <v>0.8419717107544703</v>
      </c>
      <c r="L14" s="66">
        <f t="shared" si="8"/>
        <v>-0.83648617657059132</v>
      </c>
      <c r="M14" s="66">
        <f t="shared" ca="1" si="7"/>
        <v>-0.69872364740246251</v>
      </c>
      <c r="N14" s="88">
        <f t="shared" ca="1" si="9"/>
        <v>0.80177850030552289</v>
      </c>
      <c r="O14" s="86">
        <f t="shared" ca="1" si="1"/>
        <v>21.478817367709496</v>
      </c>
      <c r="P14" s="87">
        <f t="shared" ca="1" si="2"/>
        <v>26.788966478303987</v>
      </c>
      <c r="Q14" s="82">
        <f t="shared" ca="1" si="3"/>
        <v>2.230966457074033E-2</v>
      </c>
      <c r="R14" s="4">
        <v>35</v>
      </c>
    </row>
    <row r="15" spans="1:31">
      <c r="A15" s="80" t="s">
        <v>20</v>
      </c>
      <c r="B15" s="81">
        <f ca="1">Méthode!C16/Méthode!Q$29</f>
        <v>1267378.9254525595</v>
      </c>
      <c r="C15" s="81">
        <f ca="1">Méthode!D16/Méthode!Q$30</f>
        <v>1306899.8</v>
      </c>
      <c r="D15" s="81">
        <f ca="1">Méthode!E16/Méthode!Q$33</f>
        <v>154711.80658188934</v>
      </c>
      <c r="E15" s="81">
        <f ca="1">Méthode!G$3*('Taux de mortalité'!B15*'Taux de mortalité'!C15)^0.5</f>
        <v>6890620.6070989715</v>
      </c>
      <c r="F15" s="82">
        <f t="shared" ca="1" si="0"/>
        <v>2.2452521391541937E-2</v>
      </c>
      <c r="G15" s="4">
        <v>40</v>
      </c>
      <c r="H15" s="83">
        <f t="shared" ca="1" si="4"/>
        <v>0.10629606999425269</v>
      </c>
      <c r="I15" s="83">
        <f t="shared" ca="1" si="5"/>
        <v>0.72097040482428143</v>
      </c>
      <c r="J15" s="66">
        <f t="shared" ca="1" si="6"/>
        <v>-0.47464011847384574</v>
      </c>
      <c r="K15" s="84">
        <f>Modèles!D33</f>
        <v>0.77940737993874531</v>
      </c>
      <c r="L15" s="66">
        <f t="shared" si="8"/>
        <v>-0.63110810464082734</v>
      </c>
      <c r="M15" s="66">
        <f t="shared" ca="1" si="7"/>
        <v>-0.46497763396441794</v>
      </c>
      <c r="N15" s="88">
        <f t="shared" ca="1" si="9"/>
        <v>0.71706621023738426</v>
      </c>
      <c r="O15" s="86">
        <f t="shared" ca="1" si="1"/>
        <v>17.681705591352227</v>
      </c>
      <c r="P15" s="87">
        <f t="shared" ca="1" si="2"/>
        <v>24.658400213138911</v>
      </c>
      <c r="Q15" s="82">
        <f t="shared" ca="1" si="3"/>
        <v>2.5355690004300761E-2</v>
      </c>
      <c r="R15" s="4">
        <v>40</v>
      </c>
    </row>
    <row r="16" spans="1:31">
      <c r="A16" s="80" t="s">
        <v>21</v>
      </c>
      <c r="B16" s="81">
        <f ca="1">Méthode!C17/Méthode!Q$29</f>
        <v>994071.5090805185</v>
      </c>
      <c r="C16" s="81">
        <f ca="1">Méthode!D17/Méthode!Q$30</f>
        <v>1104293.7</v>
      </c>
      <c r="D16" s="81">
        <f ca="1">Méthode!E17/Méthode!Q$33</f>
        <v>132466.01001706262</v>
      </c>
      <c r="E16" s="81">
        <f ca="1">Méthode!G$3*('Taux de mortalité'!B16*'Taux de mortalité'!C16)^0.5</f>
        <v>5609640.9259959469</v>
      </c>
      <c r="F16" s="82">
        <f t="shared" ca="1" si="0"/>
        <v>2.3613990942485209E-2</v>
      </c>
      <c r="G16" s="4">
        <v>45</v>
      </c>
      <c r="H16" s="83">
        <f t="shared" ca="1" si="4"/>
        <v>0.11148824848748358</v>
      </c>
      <c r="I16" s="83">
        <f t="shared" ca="1" si="5"/>
        <v>0.64433408420929494</v>
      </c>
      <c r="J16" s="66">
        <f t="shared" ca="1" si="6"/>
        <v>-0.29711275222015143</v>
      </c>
      <c r="K16" s="84">
        <f>Modèles!D34</f>
        <v>0.71477651150388022</v>
      </c>
      <c r="L16" s="66">
        <f t="shared" si="8"/>
        <v>-0.45934843969023603</v>
      </c>
      <c r="M16" s="66">
        <f t="shared" ca="1" si="7"/>
        <v>-0.26949358557299596</v>
      </c>
      <c r="N16" s="88">
        <f t="shared" ca="1" si="9"/>
        <v>0.63157677649239763</v>
      </c>
      <c r="O16" s="86">
        <f t="shared" ca="1" si="1"/>
        <v>14.310098124527771</v>
      </c>
      <c r="P16" s="87">
        <f t="shared" ca="1" si="2"/>
        <v>22.657733243457891</v>
      </c>
      <c r="Q16" s="82">
        <f t="shared" ca="1" si="3"/>
        <v>2.5172798101631963E-2</v>
      </c>
      <c r="R16" s="4">
        <v>45</v>
      </c>
    </row>
    <row r="17" spans="1:18">
      <c r="A17" s="80" t="s">
        <v>22</v>
      </c>
      <c r="B17" s="81">
        <f ca="1">Méthode!C18/Méthode!Q$29</f>
        <v>790564.72922499361</v>
      </c>
      <c r="C17" s="81">
        <f ca="1">Méthode!D18/Méthode!Q$30</f>
        <v>888042.4</v>
      </c>
      <c r="D17" s="81">
        <f ca="1">Méthode!E18/Méthode!Q$33</f>
        <v>131332.33072308867</v>
      </c>
      <c r="E17" s="81">
        <f ca="1">Méthode!G$3*('Taux de mortalité'!B17*'Taux de mortalité'!C17)^0.5</f>
        <v>4486105.8901266046</v>
      </c>
      <c r="F17" s="82">
        <f t="shared" ca="1" si="0"/>
        <v>2.9275352374569623E-2</v>
      </c>
      <c r="G17" s="4">
        <v>50</v>
      </c>
      <c r="H17" s="83">
        <f t="shared" ca="1" si="4"/>
        <v>0.1363942849857592</v>
      </c>
      <c r="I17" s="83">
        <f t="shared" ca="1" si="5"/>
        <v>0.57249840572001387</v>
      </c>
      <c r="J17" s="66">
        <f t="shared" ca="1" si="6"/>
        <v>-0.14602596648810623</v>
      </c>
      <c r="K17" s="84">
        <f>Modèles!D35</f>
        <v>0.65601381508394385</v>
      </c>
      <c r="L17" s="66">
        <f t="shared" si="8"/>
        <v>-0.32279017593115344</v>
      </c>
      <c r="M17" s="66">
        <f t="shared" ca="1" si="7"/>
        <v>-0.11407314825083298</v>
      </c>
      <c r="N17" s="88">
        <f t="shared" ca="1" si="9"/>
        <v>0.55679045548922601</v>
      </c>
      <c r="O17" s="86">
        <f t="shared" ca="1" si="1"/>
        <v>11.339180044573713</v>
      </c>
      <c r="P17" s="87">
        <f t="shared" ca="1" si="2"/>
        <v>20.365255784800585</v>
      </c>
      <c r="Q17" s="82">
        <f t="shared" ca="1" si="3"/>
        <v>2.3748981630496685E-2</v>
      </c>
      <c r="R17" s="4">
        <v>50</v>
      </c>
    </row>
    <row r="18" spans="1:18">
      <c r="A18" s="80" t="s">
        <v>23</v>
      </c>
      <c r="B18" s="81">
        <f ca="1">Méthode!C19/Méthode!Q$29</f>
        <v>567430.11556681991</v>
      </c>
      <c r="C18" s="81">
        <f ca="1">Méthode!D19/Méthode!Q$30</f>
        <v>708812.3</v>
      </c>
      <c r="D18" s="81">
        <f ca="1">Méthode!E19/Méthode!Q$33</f>
        <v>108139.96489741674</v>
      </c>
      <c r="E18" s="81">
        <f ca="1">Méthode!G$3*('Taux de mortalité'!B18*'Taux de mortalité'!C18)^0.5</f>
        <v>3395515.8785113581</v>
      </c>
      <c r="F18" s="82">
        <f t="shared" ca="1" si="0"/>
        <v>3.1847874893409955E-2</v>
      </c>
      <c r="G18" s="4">
        <v>55</v>
      </c>
      <c r="H18" s="83">
        <f t="shared" ca="1" si="4"/>
        <v>0.14749580463384587</v>
      </c>
      <c r="I18" s="83">
        <f t="shared" ca="1" si="5"/>
        <v>0.4944128950163455</v>
      </c>
      <c r="J18" s="66">
        <f t="shared" ca="1" si="6"/>
        <v>1.117467508383029E-2</v>
      </c>
      <c r="K18" s="84">
        <f>Modèles!D36</f>
        <v>0.60476738722405798</v>
      </c>
      <c r="L18" s="66">
        <f t="shared" si="8"/>
        <v>-0.21268470774774717</v>
      </c>
      <c r="M18" s="66">
        <f t="shared" ca="1" si="7"/>
        <v>1.1240688829116885E-2</v>
      </c>
      <c r="N18" s="88">
        <f t="shared" ca="1" si="9"/>
        <v>0.49437989228943069</v>
      </c>
      <c r="O18" s="86">
        <f t="shared" ca="1" si="1"/>
        <v>8.7112541751270705</v>
      </c>
      <c r="P18" s="87">
        <f t="shared" ca="1" si="2"/>
        <v>17.620567322805147</v>
      </c>
      <c r="Q18" s="82">
        <f t="shared" ca="1" si="3"/>
        <v>2.5876725827184189E-2</v>
      </c>
      <c r="R18" s="4">
        <v>55</v>
      </c>
    </row>
    <row r="19" spans="1:18">
      <c r="A19" s="80" t="s">
        <v>24</v>
      </c>
      <c r="B19" s="81">
        <f ca="1">Méthode!C20/Méthode!Q$29</f>
        <v>456687.1407780631</v>
      </c>
      <c r="C19" s="81">
        <f ca="1">Méthode!D20/Méthode!Q$30</f>
        <v>491870.6</v>
      </c>
      <c r="D19" s="81">
        <f ca="1">Méthode!E20/Méthode!Q$33</f>
        <v>97225.665490732659</v>
      </c>
      <c r="E19" s="81">
        <f ca="1">Méthode!G$3*('Taux de mortalité'!B19*'Taux de mortalité'!C19)^0.5</f>
        <v>2537574.3523688978</v>
      </c>
      <c r="F19" s="82">
        <f t="shared" ca="1" si="0"/>
        <v>3.8314410531446984E-2</v>
      </c>
      <c r="G19" s="4">
        <v>60</v>
      </c>
      <c r="H19" s="83">
        <f t="shared" ca="1" si="4"/>
        <v>0.17482615041103289</v>
      </c>
      <c r="I19" s="83">
        <f t="shared" ca="1" si="5"/>
        <v>0.42148906724456042</v>
      </c>
      <c r="J19" s="66">
        <f t="shared" ca="1" si="6"/>
        <v>0.15833180276930856</v>
      </c>
      <c r="K19" s="84">
        <f>Modèles!D37</f>
        <v>0.55301990265857381</v>
      </c>
      <c r="L19" s="66">
        <f t="shared" si="8"/>
        <v>-0.10643996127832432</v>
      </c>
      <c r="M19" s="66">
        <f t="shared" ca="1" si="7"/>
        <v>0.13216054021644646</v>
      </c>
      <c r="N19" s="88">
        <f t="shared" ca="1" si="9"/>
        <v>0.43430178916041551</v>
      </c>
      <c r="O19" s="86">
        <f t="shared" ca="1" si="1"/>
        <v>6.3895499715024542</v>
      </c>
      <c r="P19" s="87">
        <f t="shared" ca="1" si="2"/>
        <v>14.712234973414727</v>
      </c>
      <c r="Q19" s="82">
        <f t="shared" ca="1" si="3"/>
        <v>3.3421697833674532E-2</v>
      </c>
      <c r="R19" s="4">
        <v>60</v>
      </c>
    </row>
    <row r="20" spans="1:18">
      <c r="A20" s="89" t="str">
        <f ca="1">IF(E20=0,"", IF(E21=0, "65+", "   65-69"))</f>
        <v xml:space="preserve">   65-69</v>
      </c>
      <c r="B20" s="81">
        <f ca="1">Méthode!C21/Méthode!Q$29</f>
        <v>313128.04674641212</v>
      </c>
      <c r="C20" s="81">
        <f ca="1">Méthode!D21/Méthode!Q$30</f>
        <v>394304.6</v>
      </c>
      <c r="D20" s="81">
        <f ca="1">Méthode!E21/Méthode!Q$33</f>
        <v>88796.312683351891</v>
      </c>
      <c r="E20" s="81">
        <f ca="1">Méthode!G$3*('Taux de mortalité'!B20*'Taux de mortalité'!C20)^0.5</f>
        <v>1881312.1424198041</v>
      </c>
      <c r="F20" s="82">
        <f t="shared" ca="1" si="0"/>
        <v>4.7199138665601353E-2</v>
      </c>
      <c r="G20" s="4">
        <v>65</v>
      </c>
      <c r="H20" s="83">
        <f t="shared" ref="H20:H22" ca="1" si="10">IF(D21=0,NA(),5*F20/(1+2.5*F20))</f>
        <v>0.2110877887933281</v>
      </c>
      <c r="I20" s="83">
        <f t="shared" ca="1" si="5"/>
        <v>0.34780175617785697</v>
      </c>
      <c r="J20" s="66">
        <f t="shared" ca="1" si="6"/>
        <v>0.31435795967788815</v>
      </c>
      <c r="K20" s="84">
        <f>Modèles!D38</f>
        <v>0.49184811509613446</v>
      </c>
      <c r="L20" s="66">
        <f t="shared" si="8"/>
        <v>1.6305214622333544E-2</v>
      </c>
      <c r="M20" s="66">
        <f t="shared" ca="1" si="7"/>
        <v>0.27185995050861361</v>
      </c>
      <c r="N20" s="88">
        <f t="shared" ca="1" si="9"/>
        <v>0.36732266357213544</v>
      </c>
      <c r="O20" s="86">
        <f t="shared" ca="1" si="1"/>
        <v>4.3854888396710772</v>
      </c>
      <c r="P20" s="87">
        <f t="shared" ca="1" si="2"/>
        <v>11.93906413784307</v>
      </c>
      <c r="Q20" s="82">
        <f t="shared" ca="1" si="3"/>
        <v>4.9370633012750971E-2</v>
      </c>
      <c r="R20" s="4">
        <v>65</v>
      </c>
    </row>
    <row r="21" spans="1:18">
      <c r="A21" s="89" t="str">
        <f ca="1">IF(E21=0,"", IF(E22=0," 70+", "   70-74"))</f>
        <v xml:space="preserve">   70-74</v>
      </c>
      <c r="B21" s="81">
        <f ca="1">Méthode!C22/Méthode!Q$29</f>
        <v>238931.999886504</v>
      </c>
      <c r="C21" s="81">
        <f ca="1">Méthode!D22/Méthode!Q$30</f>
        <v>241976.3</v>
      </c>
      <c r="D21" s="81">
        <f ca="1">Méthode!E22/Méthode!Q$33</f>
        <v>80382.014453802956</v>
      </c>
      <c r="E21" s="81">
        <f ca="1">Méthode!G$3*('Taux de mortalité'!B21*'Taux de mortalité'!C21)^0.5</f>
        <v>1287382.2805666316</v>
      </c>
      <c r="F21" s="82">
        <f t="shared" ref="F21:F23" ca="1" si="11">IF(E21&gt;0,D21/E21,NA())</f>
        <v>6.2438341483481832E-2</v>
      </c>
      <c r="G21" s="4">
        <v>70</v>
      </c>
      <c r="H21" s="83">
        <f t="shared" ca="1" si="10"/>
        <v>0.27003963937411585</v>
      </c>
      <c r="I21" s="83">
        <f t="shared" ca="1" si="5"/>
        <v>0.2743850525278369</v>
      </c>
      <c r="J21" s="66">
        <f t="shared" ca="1" si="6"/>
        <v>0.48624353883518762</v>
      </c>
      <c r="K21" s="84">
        <f>Modèles!D39</f>
        <v>0.41190093447378456</v>
      </c>
      <c r="L21" s="66">
        <f t="shared" si="8"/>
        <v>0.17805627118169123</v>
      </c>
      <c r="M21" s="66">
        <f t="shared" ca="1" si="7"/>
        <v>0.45595294682942578</v>
      </c>
      <c r="N21" s="88">
        <f t="shared" ca="1" si="9"/>
        <v>0.28660999083292016</v>
      </c>
      <c r="O21" s="86">
        <f t="shared" ca="1" si="1"/>
        <v>2.750657203658438</v>
      </c>
      <c r="P21" s="87">
        <f t="shared" ca="1" si="2"/>
        <v>9.5972132571677822</v>
      </c>
      <c r="Q21" s="82">
        <f t="shared" ca="1" si="3"/>
        <v>6.9575759215755942E-2</v>
      </c>
      <c r="R21" s="4">
        <v>70</v>
      </c>
    </row>
    <row r="22" spans="1:18">
      <c r="A22" s="89" t="str">
        <f ca="1">IF(E22=0,"", IF(E23=0," 75+", "   75-79"))</f>
        <v xml:space="preserve">   75-79</v>
      </c>
      <c r="B22" s="81">
        <f ca="1">Méthode!C23/Méthode!Q$29</f>
        <v>140178.56226252194</v>
      </c>
      <c r="C22" s="81">
        <f ca="1">Méthode!D23/Méthode!Q$30</f>
        <v>163112.35999999999</v>
      </c>
      <c r="D22" s="81">
        <f ca="1">Méthode!E23/Méthode!Q$33</f>
        <v>65818.100085202692</v>
      </c>
      <c r="E22" s="81">
        <f ca="1">Méthode!G$3*('Taux de mortalité'!B22*'Taux de mortalité'!C22)^0.5</f>
        <v>809595.69214034872</v>
      </c>
      <c r="F22" s="82">
        <f t="shared" ca="1" si="11"/>
        <v>8.129749296367636E-2</v>
      </c>
      <c r="G22" s="4">
        <v>75</v>
      </c>
      <c r="H22" s="83">
        <f t="shared" ca="1" si="10"/>
        <v>0.33782637205555488</v>
      </c>
      <c r="I22" s="83">
        <f t="shared" ca="1" si="5"/>
        <v>0.20029021189357202</v>
      </c>
      <c r="J22" s="66">
        <f t="shared" ca="1" si="6"/>
        <v>0.69224076136971646</v>
      </c>
      <c r="K22" s="84">
        <f>Modèles!D40</f>
        <v>0.31783379984852717</v>
      </c>
      <c r="L22" s="66">
        <f t="shared" si="8"/>
        <v>0.38187235961094013</v>
      </c>
      <c r="M22" s="66">
        <f t="shared" ca="1" si="7"/>
        <v>0.68792122707097669</v>
      </c>
      <c r="N22" s="88">
        <f t="shared" ca="1" si="9"/>
        <v>0.20167754992359746</v>
      </c>
      <c r="O22" s="86">
        <f t="shared" ca="1" si="1"/>
        <v>1.5299383517671439</v>
      </c>
      <c r="P22" s="87">
        <f t="shared" ca="1" si="2"/>
        <v>7.5860617721047197</v>
      </c>
      <c r="Q22" s="82">
        <f t="shared" ca="1" si="3"/>
        <v>9.7076926357638746E-2</v>
      </c>
      <c r="R22" s="4">
        <v>75</v>
      </c>
    </row>
    <row r="23" spans="1:18">
      <c r="A23" s="89" t="str">
        <f ca="1">IF(E23=0,"", IF(E24=0," 80+", "   80-84"))</f>
        <v xml:space="preserve">   80-84</v>
      </c>
      <c r="B23" s="81">
        <f ca="1">Méthode!C24/Méthode!Q$29</f>
        <v>93327.740630806904</v>
      </c>
      <c r="C23" s="81">
        <f ca="1">Méthode!D24/Méthode!Q$30</f>
        <v>87698.19</v>
      </c>
      <c r="D23" s="81">
        <f ca="1">Méthode!E24/Méthode!Q$33</f>
        <v>50070.296274059598</v>
      </c>
      <c r="E23" s="81">
        <f ca="1">Méthode!G$3*('Taux de mortalité'!B23*'Taux de mortalité'!C23)^0.5</f>
        <v>484378.26064356306</v>
      </c>
      <c r="F23" s="82">
        <f t="shared" ca="1" si="11"/>
        <v>0.10337023839082772</v>
      </c>
      <c r="G23" s="4">
        <v>80</v>
      </c>
      <c r="H23" s="83">
        <f ca="1">IF(D24=0,NA(),5*F23/(1+2.5*F23))</f>
        <v>0.4107125551215795</v>
      </c>
      <c r="I23" s="83">
        <f t="shared" ca="1" si="5"/>
        <v>0.13262689625132823</v>
      </c>
      <c r="J23" s="66">
        <f t="shared" ca="1" si="6"/>
        <v>0.93896466417381652</v>
      </c>
      <c r="K23" s="84">
        <f>Modèles!D41</f>
        <v>0.21728017424009663</v>
      </c>
      <c r="L23" s="66">
        <f t="shared" si="8"/>
        <v>0.64079358208261483</v>
      </c>
      <c r="M23" s="66">
        <f t="shared" ca="1" si="7"/>
        <v>0.98260606357073932</v>
      </c>
      <c r="N23" s="88">
        <f t="shared" ca="1" si="9"/>
        <v>0.12290408198018356</v>
      </c>
      <c r="O23" s="86">
        <f ca="1">O24+2.5*(N24+N23)</f>
        <v>0.71848427200769116</v>
      </c>
      <c r="P23" s="87">
        <f t="shared" ca="1" si="2"/>
        <v>5.8458942976648736</v>
      </c>
      <c r="Q23" s="82">
        <f t="shared" ca="1" si="3"/>
        <v>0.14121621658512112</v>
      </c>
      <c r="R23" s="4">
        <v>80</v>
      </c>
    </row>
    <row r="24" spans="1:18">
      <c r="A24" s="89" t="str">
        <f ca="1">IF(E24=0,"", "85+")</f>
        <v>85+</v>
      </c>
      <c r="B24" s="81">
        <f ca="1">Méthode!C25/Méthode!Q$29</f>
        <v>47169.255192465578</v>
      </c>
      <c r="C24" s="81">
        <f ca="1">Méthode!D25/Méthode!Q$30</f>
        <v>70299.38</v>
      </c>
      <c r="D24" s="81">
        <f ca="1">Méthode!E25/Méthode!Q$33</f>
        <v>57150.167034086036</v>
      </c>
      <c r="E24" s="81">
        <f ca="1">Méthode!G$3*('Taux de mortalité'!B24*'Taux de mortalité'!C24)^0.5</f>
        <v>308311.1342886865</v>
      </c>
      <c r="F24" s="82">
        <f ca="1">IF(E24&gt;0,D24/E24,NA())</f>
        <v>0.18536523880637276</v>
      </c>
      <c r="G24" s="4">
        <v>85</v>
      </c>
      <c r="H24" s="83" t="e">
        <f>NA()</f>
        <v>#N/A</v>
      </c>
      <c r="I24" s="83">
        <f t="shared" ca="1" si="5"/>
        <v>7.815536481410057E-2</v>
      </c>
      <c r="J24" s="66">
        <f t="shared" ca="1" si="6"/>
        <v>1.2338389993588503</v>
      </c>
      <c r="K24" s="84">
        <f>Modèles!D42</f>
        <v>0.1200582863705522</v>
      </c>
      <c r="L24" s="66">
        <f t="shared" si="8"/>
        <v>0.99593916307683372</v>
      </c>
      <c r="M24" s="66">
        <f t="shared" ca="1" si="7"/>
        <v>1.386806292774986</v>
      </c>
      <c r="N24" s="88">
        <f t="shared" ca="1" si="9"/>
        <v>5.8766870535857343E-2</v>
      </c>
      <c r="O24" s="86">
        <f t="shared" ca="1" si="1"/>
        <v>0.26430689071758895</v>
      </c>
      <c r="P24" s="87">
        <f t="shared" ca="1" si="2"/>
        <v>4.4975491855792935</v>
      </c>
      <c r="Q24" s="82">
        <f t="shared" ca="1" si="3"/>
        <v>0.20054141329249389</v>
      </c>
      <c r="R24" s="4">
        <v>85</v>
      </c>
    </row>
    <row r="25" spans="1:18">
      <c r="A25" s="80"/>
      <c r="B25" s="81"/>
      <c r="C25" s="81"/>
      <c r="D25" s="81"/>
      <c r="E25" s="4"/>
      <c r="F25" s="4"/>
      <c r="G25" s="4"/>
      <c r="H25" s="83"/>
      <c r="I25" s="83" t="e">
        <f t="shared" ca="1" si="5"/>
        <v>#N/A</v>
      </c>
      <c r="J25" s="66" t="e">
        <f t="shared" ca="1" si="6"/>
        <v>#N/A</v>
      </c>
      <c r="K25" s="84">
        <f>K24*EXP((LN(K24/K23))^2/LN(K23/K22))</f>
        <v>4.7596485269324355E-2</v>
      </c>
      <c r="L25" s="66">
        <f t="shared" si="8"/>
        <v>1.4981149426839451</v>
      </c>
      <c r="M25" s="66">
        <f t="shared" ca="1" si="7"/>
        <v>1.9583453350172704</v>
      </c>
      <c r="N25" s="88">
        <f t="shared" ca="1" si="9"/>
        <v>1.9518315777826468E-2</v>
      </c>
      <c r="O25" s="86">
        <f ca="1">O26+2.5*(N26+N25)</f>
        <v>6.8593924933379402E-2</v>
      </c>
      <c r="P25" s="87">
        <f ca="1">O25/N25</f>
        <v>3.514336263137245</v>
      </c>
      <c r="Q25" s="82">
        <f ca="1">1/P25</f>
        <v>0.28454875263054674</v>
      </c>
      <c r="R25" s="4">
        <v>90</v>
      </c>
    </row>
    <row r="26" spans="1:18">
      <c r="A26" s="115" t="s">
        <v>25</v>
      </c>
      <c r="B26" s="81">
        <f ca="1">SUM(B7:B24)</f>
        <v>19733675.982217092</v>
      </c>
      <c r="C26" s="81">
        <f ca="1">SUM(C7:C24)</f>
        <v>20842935.330000002</v>
      </c>
      <c r="D26" s="81">
        <f ca="1">SUM(D7:D24)</f>
        <v>1613213.6961294026</v>
      </c>
      <c r="E26" s="4"/>
      <c r="F26" s="4"/>
      <c r="G26" s="4"/>
      <c r="H26" s="4"/>
      <c r="I26" s="4"/>
      <c r="J26" s="4"/>
      <c r="K26" s="84">
        <f t="shared" ref="K26:K27" si="12">K25*EXP((LN(K25/K24))^2/LN(K24/K23))</f>
        <v>1.1242643045383931E-2</v>
      </c>
      <c r="L26" s="66">
        <f t="shared" si="8"/>
        <v>2.2383674982534045</v>
      </c>
      <c r="M26" s="66">
        <f t="shared" ca="1" si="7"/>
        <v>2.8008456184012704</v>
      </c>
      <c r="N26" s="88">
        <f t="shared" ca="1" si="9"/>
        <v>3.6780371415362969E-3</v>
      </c>
      <c r="O26" s="86">
        <f ca="1">O27+2.5*(N27+N26)</f>
        <v>1.0603042634972498E-2</v>
      </c>
      <c r="P26" s="4"/>
      <c r="Q26" s="4"/>
      <c r="R26" s="4"/>
    </row>
    <row r="27" spans="1:18">
      <c r="A27" s="4"/>
      <c r="B27" s="4"/>
      <c r="C27" s="4"/>
      <c r="D27" s="4"/>
      <c r="E27" s="4"/>
      <c r="F27" s="4"/>
      <c r="G27" s="4"/>
      <c r="H27" s="4"/>
      <c r="I27" s="4"/>
      <c r="J27" s="4"/>
      <c r="K27" s="84">
        <f t="shared" si="12"/>
        <v>1.184149936079993E-3</v>
      </c>
      <c r="L27" s="66">
        <f t="shared" si="8"/>
        <v>3.3687726318698017</v>
      </c>
      <c r="M27" s="66">
        <f t="shared" ca="1" si="7"/>
        <v>4.087388485758086</v>
      </c>
      <c r="N27" s="88">
        <f t="shared" ca="1" si="9"/>
        <v>2.8158995622635136E-4</v>
      </c>
      <c r="O27" s="86">
        <f ca="1">O28+2.5*(N28+N27)</f>
        <v>7.0397489056587843E-4</v>
      </c>
      <c r="P27" s="95"/>
      <c r="Q27" s="94"/>
      <c r="R27" s="4"/>
    </row>
    <row r="28" spans="1:18">
      <c r="A28" s="4"/>
      <c r="B28" s="4"/>
      <c r="C28" s="4"/>
      <c r="D28" s="4"/>
      <c r="E28" s="4"/>
      <c r="F28" s="4"/>
      <c r="G28" s="4"/>
      <c r="H28" s="4"/>
      <c r="I28" s="4"/>
      <c r="J28" s="4"/>
      <c r="K28" s="4"/>
      <c r="L28" s="4"/>
      <c r="M28" s="4"/>
      <c r="N28" s="4"/>
      <c r="O28" s="4"/>
      <c r="P28" s="95"/>
      <c r="Q28" s="94"/>
      <c r="R28" s="4"/>
    </row>
    <row r="29" spans="1:18">
      <c r="A29" s="4"/>
      <c r="B29" s="4"/>
      <c r="C29" s="4"/>
      <c r="D29" s="4"/>
      <c r="E29" s="4"/>
      <c r="F29" s="4"/>
      <c r="G29" s="4"/>
      <c r="H29" s="4"/>
      <c r="I29" s="4"/>
      <c r="J29" s="4"/>
      <c r="K29" s="4"/>
      <c r="L29" s="4"/>
      <c r="M29" s="4"/>
      <c r="N29" s="4"/>
      <c r="O29" s="4"/>
      <c r="P29" s="95"/>
      <c r="Q29" s="94"/>
      <c r="R29" s="4"/>
    </row>
    <row r="30" spans="1:18">
      <c r="A30" s="4"/>
      <c r="B30" s="4"/>
      <c r="C30" s="4"/>
      <c r="D30" s="4"/>
      <c r="E30" s="4"/>
      <c r="F30" s="4"/>
      <c r="G30" s="4"/>
      <c r="H30" s="4"/>
      <c r="I30" s="4"/>
      <c r="J30" s="4"/>
      <c r="K30" s="4"/>
      <c r="L30" s="4"/>
      <c r="M30" s="4"/>
      <c r="N30" s="4"/>
      <c r="O30" s="4"/>
      <c r="P30" s="95"/>
      <c r="Q30" s="94"/>
      <c r="R30" s="4"/>
    </row>
    <row r="31" spans="1:18">
      <c r="A31" s="4"/>
      <c r="B31" s="4"/>
      <c r="C31" s="4"/>
      <c r="D31" s="4"/>
      <c r="E31" s="4"/>
      <c r="F31" s="4"/>
      <c r="G31" s="4"/>
      <c r="H31" s="4"/>
      <c r="I31" s="4"/>
      <c r="J31" s="4"/>
      <c r="K31" s="4"/>
      <c r="L31" s="4"/>
      <c r="M31" s="4"/>
      <c r="N31" s="4"/>
      <c r="O31" s="4"/>
      <c r="P31" s="95"/>
      <c r="Q31" s="94"/>
      <c r="R31" s="4"/>
    </row>
    <row r="32" spans="1:18">
      <c r="A32" s="4"/>
      <c r="B32" s="4"/>
      <c r="C32" s="4"/>
      <c r="D32" s="4"/>
      <c r="E32" s="4"/>
      <c r="F32" s="4"/>
      <c r="G32" s="4"/>
      <c r="H32" s="4"/>
      <c r="I32" s="4"/>
      <c r="J32" s="4"/>
      <c r="K32" s="4"/>
      <c r="L32" s="4"/>
      <c r="M32" s="4"/>
      <c r="N32" s="4"/>
      <c r="O32" s="4"/>
      <c r="P32" s="95"/>
      <c r="Q32" s="94"/>
      <c r="R32" s="4"/>
    </row>
    <row r="33" spans="1:18">
      <c r="A33" s="4"/>
      <c r="B33" s="4"/>
      <c r="C33" s="4"/>
      <c r="D33" s="4"/>
      <c r="E33" s="4"/>
      <c r="F33" s="4"/>
      <c r="G33" s="4"/>
      <c r="H33" s="4"/>
      <c r="I33" s="4"/>
      <c r="J33" s="4"/>
      <c r="K33" s="4"/>
      <c r="L33" s="4"/>
      <c r="M33" s="4"/>
      <c r="N33" s="4"/>
      <c r="O33" s="4"/>
      <c r="P33" s="95"/>
      <c r="Q33" s="94"/>
      <c r="R33" s="4"/>
    </row>
    <row r="34" spans="1:18">
      <c r="A34" s="4"/>
      <c r="B34" s="4"/>
      <c r="C34" s="4"/>
      <c r="D34" s="4"/>
      <c r="E34" s="4"/>
      <c r="F34" s="4"/>
      <c r="G34" s="4"/>
      <c r="H34" s="4"/>
      <c r="I34" s="4"/>
      <c r="J34" s="4"/>
      <c r="K34" s="4"/>
      <c r="L34" s="4"/>
      <c r="M34" s="4"/>
      <c r="N34" s="4"/>
      <c r="O34" s="4"/>
      <c r="P34" s="95"/>
      <c r="Q34" s="94"/>
      <c r="R34" s="4"/>
    </row>
    <row r="35" spans="1:18">
      <c r="A35" s="4"/>
      <c r="B35" s="4"/>
      <c r="C35" s="4"/>
      <c r="D35" s="4"/>
      <c r="E35" s="4"/>
      <c r="F35" s="4"/>
      <c r="G35" s="4"/>
      <c r="H35" s="4"/>
      <c r="I35" s="4"/>
      <c r="J35" s="4"/>
      <c r="K35" s="4"/>
      <c r="L35" s="4"/>
      <c r="M35" s="4"/>
      <c r="N35" s="4"/>
      <c r="O35" s="4"/>
      <c r="P35" s="95"/>
      <c r="Q35" s="94"/>
      <c r="R35" s="4"/>
    </row>
    <row r="36" spans="1:18" ht="15">
      <c r="J36" s="90"/>
      <c r="K36" s="91"/>
      <c r="L36" s="91"/>
      <c r="M36" s="92"/>
      <c r="N36" s="91"/>
      <c r="O36" s="91"/>
      <c r="P36" s="95"/>
      <c r="Q36" s="91"/>
      <c r="R36" s="91"/>
    </row>
    <row r="37" spans="1:18" ht="15">
      <c r="J37" s="90"/>
      <c r="K37" s="91"/>
      <c r="L37" s="91"/>
      <c r="M37" s="92"/>
      <c r="N37" s="91"/>
      <c r="O37" s="91"/>
      <c r="P37" s="95"/>
      <c r="Q37" s="91"/>
      <c r="R37" s="91"/>
    </row>
    <row r="38" spans="1:18">
      <c r="P38" s="95"/>
    </row>
    <row r="39" spans="1:18">
      <c r="P39" s="95"/>
    </row>
    <row r="40" spans="1:18">
      <c r="P40" s="95"/>
    </row>
    <row r="41" spans="1:18">
      <c r="P41" s="95"/>
    </row>
    <row r="42" spans="1:18">
      <c r="P42" s="95"/>
    </row>
    <row r="43" spans="1:18">
      <c r="P43" s="95"/>
    </row>
    <row r="44" spans="1:18">
      <c r="P44" s="95"/>
    </row>
    <row r="45" spans="1:18">
      <c r="P45" s="95"/>
    </row>
    <row r="46" spans="1:18">
      <c r="P46" s="95"/>
    </row>
    <row r="47" spans="1:18">
      <c r="P47" s="95"/>
    </row>
    <row r="48" spans="1:18">
      <c r="P48" s="95"/>
    </row>
  </sheetData>
  <sheetProtection sheet="1" objects="1" scenarios="1"/>
  <protectedRanges>
    <protectedRange sqref="L2:L3" name="Range1"/>
  </protectedRanges>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S1" sqref="S1"/>
    </sheetView>
  </sheetViews>
  <sheetFormatPr defaultColWidth="9.140625" defaultRowHeight="12.75"/>
  <sheetData/>
  <sheetProtection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Modèles</vt:lpstr>
      <vt:lpstr>Méthode</vt:lpstr>
      <vt:lpstr>Taux de mortalité</vt:lpstr>
      <vt:lpstr>Graphiques</vt:lpstr>
    </vt:vector>
  </TitlesOfParts>
  <Company>University of Cape Town (Commerce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Dorrrington</dc:creator>
  <cp:lastModifiedBy>Anne</cp:lastModifiedBy>
  <dcterms:created xsi:type="dcterms:W3CDTF">2011-09-04T06:06:40Z</dcterms:created>
  <dcterms:modified xsi:type="dcterms:W3CDTF">2017-03-22T10:32:17Z</dcterms:modified>
</cp:coreProperties>
</file>