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24030" windowHeight="5130"/>
  </bookViews>
  <sheets>
    <sheet name="Introduction" sheetId="4" r:id="rId1"/>
    <sheet name="Model data" sheetId="5" r:id="rId2"/>
    <sheet name="Method" sheetId="1" r:id="rId3"/>
    <sheet name="Mortality rates" sheetId="6" r:id="rId4"/>
    <sheet name="Graphs" sheetId="2" r:id="rId5"/>
  </sheets>
  <externalReferences>
    <externalReference r:id="rId6"/>
    <externalReference r:id="rId7"/>
    <externalReference r:id="rId8"/>
    <externalReference r:id="rId9"/>
  </externalReferences>
  <definedNames>
    <definedName name="__123Graph_A" hidden="1">'[1]Deadkids correction to CEB'!$Z$26:$Z$42</definedName>
    <definedName name="__123Graph_AADJUST" hidden="1">'[1]Deadkids correction to CEB'!$Z$26:$Z$42</definedName>
    <definedName name="__123Graph_ACOMPARE" hidden="1">'[1]Deadkids correction to CEB'!$X$3:$X$18</definedName>
    <definedName name="__123Graph_B" hidden="1">'[1]Deadkids correction to CEB'!$AC$26:$AC$42</definedName>
    <definedName name="__123Graph_BADJUST" hidden="1">'[1]Deadkids correction to CEB'!$AC$26:$AC$42</definedName>
    <definedName name="__123Graph_BCOMPARE" hidden="1">'[1]Deadkids correction to CEB'!$Y$3:$Y$19</definedName>
    <definedName name="__123Graph_C" hidden="1">'[1]Deadkids correction to CEB'!$AA$26:$AA$60</definedName>
    <definedName name="__123Graph_CADJUST" hidden="1">'[1]Deadkids correction to CEB'!$AA$26:$AA$60</definedName>
    <definedName name="__123Graph_CCOMPARE" hidden="1">'[1]Deadkids correction to CEB'!$X$3:$X$9</definedName>
    <definedName name="__123Graph_DCOMPARE" hidden="1">'[1]Deadkids correction to CEB'!$Y$3:$Y$9</definedName>
    <definedName name="__123Graph_F" hidden="1">'[1]Deadkids correction to CEB'!$AE$26:$AE$49</definedName>
    <definedName name="__123Graph_FADJUST" hidden="1">'[1]Deadkids correction to CEB'!$AE$26:$AE$49</definedName>
    <definedName name="__123Graph_LBL_A" hidden="1">'[1]Deadkids correction to CEB'!$AB$26:$AB$42</definedName>
    <definedName name="__123Graph_LBL_AADJUST" hidden="1">'[1]Deadkids correction to CEB'!$AB$26:$AB$42</definedName>
    <definedName name="__123Graph_LBL_ACOMPARE" hidden="1">'[1]Deadkids correction to CEB'!$V$3:$V$19</definedName>
    <definedName name="__123Graph_LBL_CCOMPARE" hidden="1">'[1]Deadkids correction to CEB'!$V$3:$V$9</definedName>
    <definedName name="__123Graph_LBL_F" hidden="1">'[1]Deadkids correction to CEB'!$AF$26:$AF$49</definedName>
    <definedName name="__123Graph_LBL_FADJUST" hidden="1">'[1]Deadkids correction to CEB'!$AF$26:$AF$49</definedName>
    <definedName name="__123Graph_X" hidden="1">'[1]Deadkids correction to CEB'!$Y$26:$Y$60</definedName>
    <definedName name="__123Graph_XADJUST" hidden="1">'[1]Deadkids correction to CEB'!$Y$26:$Y$60</definedName>
    <definedName name="__123Graph_XCOMPARE" hidden="1">'[1]Deadkids correction to CEB'!$W$3:$W$19</definedName>
    <definedName name="_Key1" localSheetId="1" hidden="1">#REF!</definedName>
    <definedName name="_Key1" localSheetId="3" hidden="1">#REF!</definedName>
    <definedName name="_Key1" hidden="1">#REF!</definedName>
    <definedName name="_Order1" hidden="1">255</definedName>
    <definedName name="_Sort" localSheetId="1" hidden="1">#REF!</definedName>
    <definedName name="_Sort" localSheetId="3" hidden="1">#REF!</definedName>
    <definedName name="_Sort" hidden="1">#REF!</definedName>
    <definedName name="ALPHAC" localSheetId="1">#REF!</definedName>
    <definedName name="ALPHAC" localSheetId="3">#REF!</definedName>
    <definedName name="ALPHAC">#REF!</definedName>
    <definedName name="ALPHAF" localSheetId="1">#REF!</definedName>
    <definedName name="ALPHAF" localSheetId="3">#REF!</definedName>
    <definedName name="ALPHAF">#REF!</definedName>
    <definedName name="ALPHAP" localSheetId="3">#REF!</definedName>
    <definedName name="ALPHAP">#REF!</definedName>
    <definedName name="BETAC" localSheetId="3">#REF!</definedName>
    <definedName name="BETAC">#REF!</definedName>
    <definedName name="BETAF" localSheetId="3">#REF!</definedName>
    <definedName name="BETAF">#REF!</definedName>
    <definedName name="BETAP" localSheetId="3">#REF!</definedName>
    <definedName name="BETAP">#REF!</definedName>
    <definedName name="CCONST" localSheetId="3">#REF!</definedName>
    <definedName name="CCONST">#REF!</definedName>
    <definedName name="CINTERCEPT" localSheetId="3">#REF!</definedName>
    <definedName name="CINTERCEPT">#REF!</definedName>
    <definedName name="CSLOP" localSheetId="3">#REF!</definedName>
    <definedName name="CSLOP">#REF!</definedName>
    <definedName name="Date_of_survey" localSheetId="1">'[2]Maternal orphanhood'!$S$1</definedName>
    <definedName name="Date_of_survey">'[3]Maternal orphanhood'!$T$1</definedName>
    <definedName name="FCONST" localSheetId="1">#REF!</definedName>
    <definedName name="FCONST" localSheetId="3">#REF!</definedName>
    <definedName name="FCONST">#REF!</definedName>
    <definedName name="FINTERCEPT" localSheetId="3">#REF!</definedName>
    <definedName name="FINTERCEPT">#REF!</definedName>
    <definedName name="FPTS" localSheetId="3">#REF!</definedName>
    <definedName name="FPTS">#REF!</definedName>
    <definedName name="FSLOP" localSheetId="3">#REF!</definedName>
    <definedName name="FSLOP">#REF!</definedName>
    <definedName name="graph1" hidden="1">[4]GOMP!$Z$26:$Z$42</definedName>
    <definedName name="graph10" hidden="1">[4]GOMP!$Y$3:$Y$9</definedName>
    <definedName name="graph11" hidden="1">[4]GOMP!$AE$26:$AE$49</definedName>
    <definedName name="graph12" hidden="1">[4]GOMP!$AE$26:$AE$49</definedName>
    <definedName name="graph13" hidden="1">[4]GOMP!$AB$26:$AB$42</definedName>
    <definedName name="graph14" hidden="1">[4]GOMP!$AB$26:$AB$42</definedName>
    <definedName name="graph15" hidden="1">[4]GOMP!$V$3:$V$19</definedName>
    <definedName name="graph16" hidden="1">[4]GOMP!$V$3:$V$9</definedName>
    <definedName name="graph17" hidden="1">[4]GOMP!$AF$26:$AF$49</definedName>
    <definedName name="graph18" hidden="1">[4]GOMP!$AF$26:$AF$49</definedName>
    <definedName name="graph19" hidden="1">[4]GOMP!$Y$26:$Y$60</definedName>
    <definedName name="graph1a" localSheetId="1" hidden="1">#REF!</definedName>
    <definedName name="graph1a" localSheetId="3" hidden="1">#REF!</definedName>
    <definedName name="graph1a" hidden="1">#REF!</definedName>
    <definedName name="graph2" hidden="1">[4]GOMP!$Z$26:$Z$42</definedName>
    <definedName name="graph20" hidden="1">[4]GOMP!$Y$26:$Y$60</definedName>
    <definedName name="graph21" hidden="1">[4]GOMP!$W$3:$W$19</definedName>
    <definedName name="graph3" hidden="1">[4]GOMP!$X$3:$X$18</definedName>
    <definedName name="graph4" hidden="1">[4]GOMP!$AC$26:$AC$42</definedName>
    <definedName name="graph5" hidden="1">[4]GOMP!$AC$26:$AC$42</definedName>
    <definedName name="graph6" hidden="1">[4]GOMP!$Y$3:$Y$19</definedName>
    <definedName name="graph7" hidden="1">[4]GOMP!$AA$26:$AA$60</definedName>
    <definedName name="graph8" hidden="1">[4]GOMP!$AA$26:$AA$60</definedName>
    <definedName name="graph9" hidden="1">[4]GOMP!$X$3:$X$9</definedName>
    <definedName name="HALF" localSheetId="1">#REF!</definedName>
    <definedName name="HALF" localSheetId="3">#REF!</definedName>
    <definedName name="HALF">#REF!</definedName>
    <definedName name="IMPORT" localSheetId="1">#REF!</definedName>
    <definedName name="IMPORT" localSheetId="3">#REF!</definedName>
    <definedName name="IMPORT">#REF!</definedName>
    <definedName name="INPUT" localSheetId="1">#REF!</definedName>
    <definedName name="INPUT" localSheetId="3">#REF!</definedName>
    <definedName name="INPUT">#REF!</definedName>
    <definedName name="LEGB" localSheetId="3">#REF!</definedName>
    <definedName name="LEGB">#REF!</definedName>
    <definedName name="LEGC" localSheetId="3">#REF!</definedName>
    <definedName name="LEGC">#REF!</definedName>
    <definedName name="LEVELC" localSheetId="3">#REF!</definedName>
    <definedName name="LEVELC">#REF!</definedName>
    <definedName name="LEVELF" localSheetId="3">#REF!</definedName>
    <definedName name="LEVELF">#REF!</definedName>
    <definedName name="LEVELP" localSheetId="3">#REF!</definedName>
    <definedName name="LEVELP">#REF!</definedName>
    <definedName name="MAXF" localSheetId="3">#REF!</definedName>
    <definedName name="MAXF">#REF!</definedName>
    <definedName name="MAXP" localSheetId="3">#REF!</definedName>
    <definedName name="MAXP">#REF!</definedName>
    <definedName name="MBAR" localSheetId="1">'[2]Maternal orphanhood'!$D$57</definedName>
    <definedName name="MBAR">'[3]Maternal orphanhood'!$D$43</definedName>
    <definedName name="MBAR_m" localSheetId="1">'[2]Paternal orphanhood'!$C$43</definedName>
    <definedName name="MBAR_m">'[3]Paternal orphanhood'!$C$31</definedName>
    <definedName name="MINF" localSheetId="1">#REF!</definedName>
    <definedName name="MINF" localSheetId="3">#REF!</definedName>
    <definedName name="MINF">#REF!</definedName>
    <definedName name="MINP" localSheetId="3">#REF!</definedName>
    <definedName name="MINP">#REF!</definedName>
    <definedName name="NC" localSheetId="3">#REF!</definedName>
    <definedName name="NC">#REF!</definedName>
    <definedName name="NF" localSheetId="3">#REF!</definedName>
    <definedName name="NF">#REF!</definedName>
    <definedName name="NONE" localSheetId="3">#REF!</definedName>
    <definedName name="NONE">#REF!</definedName>
    <definedName name="NP" localSheetId="3">#REF!</definedName>
    <definedName name="NP">#REF!</definedName>
    <definedName name="ONE_AHALF" localSheetId="3">#REF!</definedName>
    <definedName name="ONE_AHALF">#REF!</definedName>
    <definedName name="PCONST" localSheetId="3">#REF!</definedName>
    <definedName name="PCONST">#REF!</definedName>
    <definedName name="PINTERCEPT" localSheetId="3">#REF!</definedName>
    <definedName name="PINTERCEPT">#REF!</definedName>
    <definedName name="PPTS" localSheetId="3">#REF!</definedName>
    <definedName name="PPTS">#REF!</definedName>
    <definedName name="PSLOP" localSheetId="3">#REF!</definedName>
    <definedName name="PSLOP">#REF!</definedName>
    <definedName name="SHIFT" localSheetId="3">#REF!</definedName>
    <definedName name="SHIFT">#REF!</definedName>
    <definedName name="solver_adj" localSheetId="2" hidden="1">Method!#REF!</definedName>
    <definedName name="solver_adj" localSheetId="3" hidden="1">'Mortality rates'!#REF!</definedName>
    <definedName name="solver_cvg" localSheetId="2" hidden="1">0.0001</definedName>
    <definedName name="solver_cvg" localSheetId="3" hidden="1">0.0001</definedName>
    <definedName name="solver_drv" localSheetId="2" hidden="1">1</definedName>
    <definedName name="solver_drv" localSheetId="3" hidden="1">1</definedName>
    <definedName name="solver_est" localSheetId="2" hidden="1">1</definedName>
    <definedName name="solver_est" localSheetId="3" hidden="1">1</definedName>
    <definedName name="solver_itr" localSheetId="2" hidden="1">100</definedName>
    <definedName name="solver_itr" localSheetId="3" hidden="1">100</definedName>
    <definedName name="solver_lin" localSheetId="2" hidden="1">2</definedName>
    <definedName name="solver_lin" localSheetId="3" hidden="1">2</definedName>
    <definedName name="solver_neg" localSheetId="2" hidden="1">2</definedName>
    <definedName name="solver_neg" localSheetId="3" hidden="1">2</definedName>
    <definedName name="solver_num" localSheetId="2" hidden="1">0</definedName>
    <definedName name="solver_num" localSheetId="3" hidden="1">0</definedName>
    <definedName name="solver_nwt" localSheetId="2" hidden="1">1</definedName>
    <definedName name="solver_nwt" localSheetId="3" hidden="1">1</definedName>
    <definedName name="solver_opt" localSheetId="2" hidden="1">Method!#REF!</definedName>
    <definedName name="solver_opt" localSheetId="3" hidden="1">'Mortality rates'!#REF!</definedName>
    <definedName name="solver_pre" localSheetId="2" hidden="1">0.000001</definedName>
    <definedName name="solver_pre" localSheetId="3" hidden="1">0.000001</definedName>
    <definedName name="solver_scl" localSheetId="2" hidden="1">2</definedName>
    <definedName name="solver_scl" localSheetId="3" hidden="1">2</definedName>
    <definedName name="solver_sho" localSheetId="2" hidden="1">2</definedName>
    <definedName name="solver_sho" localSheetId="3" hidden="1">2</definedName>
    <definedName name="solver_tim" localSheetId="2" hidden="1">100</definedName>
    <definedName name="solver_tim" localSheetId="3" hidden="1">100</definedName>
    <definedName name="solver_tol" localSheetId="2" hidden="1">0.05</definedName>
    <definedName name="solver_tol" localSheetId="3" hidden="1">0.05</definedName>
    <definedName name="solver_typ" localSheetId="2" hidden="1">2</definedName>
    <definedName name="solver_typ" localSheetId="3" hidden="1">2</definedName>
    <definedName name="solver_val" localSheetId="2" hidden="1">0</definedName>
    <definedName name="solver_val" localSheetId="3" hidden="1">0</definedName>
    <definedName name="TITLE" localSheetId="1">#REF!</definedName>
    <definedName name="TITLE" localSheetId="3">#REF!</definedName>
    <definedName name="TITLE">#REF!</definedName>
    <definedName name="WHICH" localSheetId="1">#REF!</definedName>
    <definedName name="WHICH" localSheetId="3">#REF!</definedName>
    <definedName name="WHICH">#REF!</definedName>
    <definedName name="WHOLE" localSheetId="1">#REF!</definedName>
    <definedName name="WHOLE" localSheetId="3">#REF!</definedName>
    <definedName name="WHOLE">#REF!</definedName>
    <definedName name="XC" localSheetId="3">#REF!</definedName>
    <definedName name="XC">#REF!</definedName>
    <definedName name="XF" localSheetId="3">#REF!</definedName>
    <definedName name="XF">#REF!</definedName>
    <definedName name="XP" localSheetId="3">#REF!</definedName>
    <definedName name="XP">#REF!</definedName>
    <definedName name="XXC" localSheetId="3">#REF!</definedName>
    <definedName name="XXC">#REF!</definedName>
    <definedName name="XXF" localSheetId="3">#REF!</definedName>
    <definedName name="XXF">#REF!</definedName>
    <definedName name="XXP" localSheetId="3">#REF!</definedName>
    <definedName name="XXP">#REF!</definedName>
    <definedName name="XYC" localSheetId="3">#REF!</definedName>
    <definedName name="XYC">#REF!</definedName>
    <definedName name="XYF" localSheetId="3">#REF!</definedName>
    <definedName name="XYF">#REF!</definedName>
    <definedName name="XYP" localSheetId="3">#REF!</definedName>
    <definedName name="XYP">#REF!</definedName>
    <definedName name="YC" localSheetId="3">#REF!</definedName>
    <definedName name="YC">#REF!</definedName>
    <definedName name="YF" localSheetId="3">#REF!</definedName>
    <definedName name="YF">#REF!</definedName>
    <definedName name="YP" localSheetId="3">#REF!</definedName>
    <definedName name="YP">#REF!</definedName>
    <definedName name="YYC" localSheetId="3">#REF!</definedName>
    <definedName name="YYC">#REF!</definedName>
    <definedName name="YYF" localSheetId="3">#REF!</definedName>
    <definedName name="YYF">#REF!</definedName>
    <definedName name="YYP" localSheetId="3">#REF!</definedName>
    <definedName name="YYP">#REF!</definedName>
  </definedNames>
  <calcPr calcId="145621"/>
</workbook>
</file>

<file path=xl/calcChain.xml><?xml version="1.0" encoding="utf-8"?>
<calcChain xmlns="http://schemas.openxmlformats.org/spreadsheetml/2006/main">
  <c r="G2" i="1" l="1"/>
  <c r="H24" i="6" l="1"/>
  <c r="B26" i="5" l="1"/>
  <c r="A22" i="1" l="1"/>
  <c r="A23" i="1"/>
  <c r="A24" i="1"/>
  <c r="A21" i="1"/>
  <c r="B3" i="6"/>
  <c r="B1" i="6"/>
  <c r="R6" i="6"/>
  <c r="Q6" i="6"/>
  <c r="P6" i="6"/>
  <c r="O6" i="6"/>
  <c r="N6" i="6"/>
  <c r="M6" i="6"/>
  <c r="L6" i="6"/>
  <c r="K6" i="6"/>
  <c r="J6" i="6"/>
  <c r="I6" i="6"/>
  <c r="H6" i="6"/>
  <c r="G6" i="6"/>
  <c r="F6" i="6"/>
  <c r="E6" i="6"/>
  <c r="D6" i="6"/>
  <c r="B6" i="6"/>
  <c r="A6" i="6"/>
  <c r="G3" i="1"/>
  <c r="L9" i="1" l="1"/>
  <c r="L11" i="1"/>
  <c r="C3" i="1"/>
  <c r="C1" i="1"/>
  <c r="B23" i="5" l="1"/>
  <c r="K5" i="6" s="1"/>
  <c r="B42" i="5" l="1"/>
  <c r="B41" i="5"/>
  <c r="B40" i="5"/>
  <c r="B39" i="5"/>
  <c r="B38" i="5"/>
  <c r="B37" i="5"/>
  <c r="B36" i="5"/>
  <c r="B35" i="5"/>
  <c r="B34" i="5"/>
  <c r="B33" i="5"/>
  <c r="B32" i="5"/>
  <c r="B31" i="5"/>
  <c r="B30" i="5"/>
  <c r="B29" i="5"/>
  <c r="B28" i="5"/>
  <c r="B27" i="5"/>
  <c r="C42" i="5" l="1"/>
  <c r="C41" i="5"/>
  <c r="C40" i="5"/>
  <c r="C39" i="5"/>
  <c r="C38" i="5"/>
  <c r="C37" i="5"/>
  <c r="C36" i="5"/>
  <c r="C35" i="5"/>
  <c r="C34" i="5"/>
  <c r="C33" i="5"/>
  <c r="C32" i="5"/>
  <c r="C31" i="5"/>
  <c r="C30" i="5"/>
  <c r="C29" i="5"/>
  <c r="C28" i="5"/>
  <c r="C27" i="5"/>
  <c r="C26" i="5"/>
  <c r="D26" i="5" s="1"/>
  <c r="K8" i="6" s="1"/>
  <c r="D41" i="5" l="1"/>
  <c r="K23" i="6" s="1"/>
  <c r="L23" i="6" s="1"/>
  <c r="D35" i="5"/>
  <c r="K17" i="6" s="1"/>
  <c r="L17" i="6" s="1"/>
  <c r="D28" i="5"/>
  <c r="K10" i="6" s="1"/>
  <c r="L10" i="6" s="1"/>
  <c r="D38" i="5"/>
  <c r="K20" i="6" s="1"/>
  <c r="L20" i="6" s="1"/>
  <c r="D29" i="5"/>
  <c r="K11" i="6" s="1"/>
  <c r="L11" i="6" s="1"/>
  <c r="D32" i="5"/>
  <c r="K14" i="6" s="1"/>
  <c r="L14" i="6" s="1"/>
  <c r="D39" i="5"/>
  <c r="K21" i="6" s="1"/>
  <c r="L21" i="6" s="1"/>
  <c r="D42" i="5"/>
  <c r="K24" i="6" s="1"/>
  <c r="L24" i="6" s="1"/>
  <c r="D27" i="5"/>
  <c r="K9" i="6" s="1"/>
  <c r="L9" i="6" s="1"/>
  <c r="D30" i="5"/>
  <c r="K12" i="6" s="1"/>
  <c r="L12" i="6" s="1"/>
  <c r="D33" i="5"/>
  <c r="K15" i="6" s="1"/>
  <c r="L15" i="6" s="1"/>
  <c r="D36" i="5"/>
  <c r="K18" i="6" s="1"/>
  <c r="L18" i="6" s="1"/>
  <c r="D31" i="5"/>
  <c r="K13" i="6" s="1"/>
  <c r="L13" i="6" s="1"/>
  <c r="D34" i="5"/>
  <c r="K16" i="6" s="1"/>
  <c r="L16" i="6" s="1"/>
  <c r="D37" i="5"/>
  <c r="K19" i="6" s="1"/>
  <c r="L19" i="6" s="1"/>
  <c r="D40" i="5"/>
  <c r="K22" i="6" s="1"/>
  <c r="L22" i="6" s="1"/>
  <c r="K25" i="6" l="1"/>
  <c r="N8" i="1"/>
  <c r="J25" i="1"/>
  <c r="J24" i="1" s="1"/>
  <c r="J23" i="1" s="1"/>
  <c r="J22" i="1" s="1"/>
  <c r="J21" i="1" s="1"/>
  <c r="J20" i="1" s="1"/>
  <c r="J19" i="1" s="1"/>
  <c r="J18" i="1" s="1"/>
  <c r="J17" i="1" s="1"/>
  <c r="J16" i="1" s="1"/>
  <c r="J15" i="1" s="1"/>
  <c r="J14" i="1" s="1"/>
  <c r="J13" i="1" s="1"/>
  <c r="J12" i="1" s="1"/>
  <c r="J11" i="1" s="1"/>
  <c r="J10" i="1" s="1"/>
  <c r="J9" i="1" s="1"/>
  <c r="J8" i="1" s="1"/>
  <c r="J7" i="1"/>
  <c r="K26" i="6" l="1"/>
  <c r="L25" i="6"/>
  <c r="K27" i="6" l="1"/>
  <c r="L27" i="6" s="1"/>
  <c r="L26" i="6"/>
  <c r="I25" i="1"/>
  <c r="I24" i="1" s="1"/>
  <c r="I23" i="1" s="1"/>
  <c r="I22" i="1" s="1"/>
  <c r="I21" i="1" s="1"/>
  <c r="I20" i="1" l="1"/>
  <c r="I19" i="1" s="1"/>
  <c r="I18" i="1" s="1"/>
  <c r="I17" i="1" s="1"/>
  <c r="I16" i="1" s="1"/>
  <c r="I15" i="1" s="1"/>
  <c r="I14" i="1" s="1"/>
  <c r="I13" i="1" s="1"/>
  <c r="I12" i="1" s="1"/>
  <c r="I11" i="1" s="1"/>
  <c r="I10" i="1" s="1"/>
  <c r="I9" i="1" s="1"/>
  <c r="I8" i="1" s="1"/>
  <c r="F27" i="1" l="1"/>
  <c r="C7" i="1"/>
  <c r="D7" i="1"/>
  <c r="E7" i="1"/>
  <c r="F7" i="1"/>
  <c r="H25" i="1" l="1"/>
  <c r="H24" i="1" s="1"/>
  <c r="H23" i="1" s="1"/>
  <c r="H22" i="1" s="1"/>
  <c r="H21" i="1" s="1"/>
  <c r="G25" i="1"/>
  <c r="G24" i="1" s="1"/>
  <c r="G23" i="1" s="1"/>
  <c r="G22" i="1" s="1"/>
  <c r="G21" i="1" s="1"/>
  <c r="B24" i="1"/>
  <c r="B23" i="1"/>
  <c r="B22" i="1"/>
  <c r="B21" i="1"/>
  <c r="A25" i="1"/>
  <c r="O3" i="1" l="1"/>
  <c r="B7" i="1"/>
  <c r="G7" i="1"/>
  <c r="H7" i="1"/>
  <c r="I7" i="1"/>
  <c r="K7" i="1"/>
  <c r="L7" i="1"/>
  <c r="M7" i="1"/>
  <c r="N7" i="1"/>
  <c r="O7" i="1"/>
  <c r="P7" i="1"/>
  <c r="Q7" i="1"/>
  <c r="R7" i="1"/>
  <c r="A7" i="1"/>
  <c r="D27" i="1" l="1"/>
  <c r="C27" i="1" l="1"/>
  <c r="E27" i="1"/>
  <c r="G20" i="1"/>
  <c r="G19" i="1" s="1"/>
  <c r="G18" i="1" s="1"/>
  <c r="G17" i="1" s="1"/>
  <c r="G16" i="1" s="1"/>
  <c r="G15" i="1" s="1"/>
  <c r="G14" i="1" s="1"/>
  <c r="G13" i="1" s="1"/>
  <c r="G12" i="1" s="1"/>
  <c r="G11" i="1" l="1"/>
  <c r="G10" i="1" s="1"/>
  <c r="G9" i="1" s="1"/>
  <c r="G8" i="1" s="1"/>
  <c r="L23" i="1"/>
  <c r="L21" i="1"/>
  <c r="L22" i="1"/>
  <c r="L24" i="1"/>
  <c r="L20" i="1"/>
  <c r="L19" i="1"/>
  <c r="L18" i="1"/>
  <c r="L17" i="1"/>
  <c r="L16" i="1"/>
  <c r="L15" i="1"/>
  <c r="K25" i="1"/>
  <c r="K24" i="1"/>
  <c r="K23" i="1"/>
  <c r="L10" i="1"/>
  <c r="L14" i="1"/>
  <c r="L13" i="1"/>
  <c r="L12" i="1"/>
  <c r="K22" i="1"/>
  <c r="N24" i="1" l="1"/>
  <c r="N22" i="1"/>
  <c r="N23" i="1"/>
  <c r="O23" i="1"/>
  <c r="M24" i="1"/>
  <c r="O24" i="1"/>
  <c r="O22" i="1"/>
  <c r="M23" i="1"/>
  <c r="M22" i="1"/>
  <c r="P23" i="1" l="1"/>
  <c r="P24" i="1"/>
  <c r="P22" i="1"/>
  <c r="H20" i="1"/>
  <c r="K21" i="1"/>
  <c r="N21" i="1" s="1"/>
  <c r="M21" i="1" l="1"/>
  <c r="P21" i="1" s="1"/>
  <c r="O21" i="1"/>
  <c r="H19" i="1"/>
  <c r="K20" i="1"/>
  <c r="N20" i="1" s="1"/>
  <c r="M20" i="1" l="1"/>
  <c r="P20" i="1" s="1"/>
  <c r="O20" i="1"/>
  <c r="H18" i="1"/>
  <c r="K19" i="1"/>
  <c r="N19" i="1" s="1"/>
  <c r="M19" i="1" l="1"/>
  <c r="O19" i="1"/>
  <c r="H17" i="1"/>
  <c r="K18" i="1"/>
  <c r="N18" i="1" s="1"/>
  <c r="M18" i="1" l="1"/>
  <c r="O18" i="1"/>
  <c r="P19" i="1"/>
  <c r="H16" i="1"/>
  <c r="K17" i="1"/>
  <c r="N17" i="1" s="1"/>
  <c r="M17" i="1" l="1"/>
  <c r="O17" i="1"/>
  <c r="P18" i="1"/>
  <c r="H15" i="1"/>
  <c r="K16" i="1"/>
  <c r="N16" i="1" s="1"/>
  <c r="M16" i="1" l="1"/>
  <c r="O16" i="1"/>
  <c r="P17" i="1"/>
  <c r="H14" i="1"/>
  <c r="K15" i="1"/>
  <c r="N15" i="1" s="1"/>
  <c r="M15" i="1" l="1"/>
  <c r="O15" i="1"/>
  <c r="P16" i="1"/>
  <c r="H13" i="1"/>
  <c r="K14" i="1"/>
  <c r="N14" i="1" s="1"/>
  <c r="M14" i="1" l="1"/>
  <c r="P14" i="1" s="1"/>
  <c r="O14" i="1"/>
  <c r="P15" i="1"/>
  <c r="H12" i="1"/>
  <c r="K12" i="1" s="1"/>
  <c r="M12" i="1" s="1"/>
  <c r="K13" i="1"/>
  <c r="N13" i="1" s="1"/>
  <c r="M13" i="1" l="1"/>
  <c r="P13" i="1" s="1"/>
  <c r="O13" i="1"/>
  <c r="H11" i="1"/>
  <c r="N12" i="1"/>
  <c r="O12" i="1" l="1"/>
  <c r="H10" i="1"/>
  <c r="K11" i="1"/>
  <c r="N11" i="1" s="1"/>
  <c r="M11" i="1" l="1"/>
  <c r="P11" i="1" s="1"/>
  <c r="O11" i="1"/>
  <c r="H9" i="1"/>
  <c r="K10" i="1"/>
  <c r="N10" i="1" s="1"/>
  <c r="P12" i="1"/>
  <c r="M10" i="1" l="1"/>
  <c r="P10" i="1" s="1"/>
  <c r="O10" i="1"/>
  <c r="H8" i="1"/>
  <c r="K8" i="1" s="1"/>
  <c r="K9" i="1"/>
  <c r="O9" i="1" l="1"/>
  <c r="M9" i="1"/>
  <c r="N9" i="1"/>
  <c r="P9" i="1" l="1"/>
  <c r="Q32" i="1"/>
  <c r="Q27" i="1" l="1"/>
  <c r="Q19" i="1" l="1"/>
  <c r="R19" i="1" s="1"/>
  <c r="Q12" i="1"/>
  <c r="R12" i="1" s="1"/>
  <c r="Q9" i="1"/>
  <c r="R9" i="1" s="1"/>
  <c r="Q8" i="1"/>
  <c r="Q17" i="1"/>
  <c r="R17" i="1" s="1"/>
  <c r="Q11" i="1"/>
  <c r="R11" i="1" s="1"/>
  <c r="Q14" i="1"/>
  <c r="R14" i="1" s="1"/>
  <c r="Q18" i="1"/>
  <c r="R18" i="1" s="1"/>
  <c r="Q22" i="1"/>
  <c r="R22" i="1" s="1"/>
  <c r="Q23" i="1"/>
  <c r="R23" i="1" s="1"/>
  <c r="Q24" i="1"/>
  <c r="R24" i="1" s="1"/>
  <c r="Q21" i="1"/>
  <c r="R21" i="1" s="1"/>
  <c r="Q10" i="1"/>
  <c r="R10" i="1" s="1"/>
  <c r="Q28" i="1"/>
  <c r="Q29" i="1" s="1"/>
  <c r="Q20" i="1"/>
  <c r="R20" i="1" s="1"/>
  <c r="Q16" i="1"/>
  <c r="R16" i="1" s="1"/>
  <c r="Q15" i="1"/>
  <c r="R15" i="1" s="1"/>
  <c r="Q13" i="1"/>
  <c r="R13" i="1" s="1"/>
  <c r="B21" i="6" l="1"/>
  <c r="B23" i="6"/>
  <c r="B16" i="6"/>
  <c r="B18" i="6"/>
  <c r="B11" i="6"/>
  <c r="B13" i="6"/>
  <c r="B20" i="6"/>
  <c r="B8" i="6"/>
  <c r="B10" i="6"/>
  <c r="B22" i="6"/>
  <c r="Q30" i="1"/>
  <c r="B12" i="6"/>
  <c r="B9" i="6"/>
  <c r="B14" i="6"/>
  <c r="Q31" i="1"/>
  <c r="Q33" i="1" s="1"/>
  <c r="B17" i="6"/>
  <c r="B24" i="6"/>
  <c r="B15" i="6"/>
  <c r="B19" i="6"/>
  <c r="B26" i="6" l="1"/>
  <c r="D15" i="6"/>
  <c r="D8" i="6"/>
  <c r="D23" i="6"/>
  <c r="D18" i="6"/>
  <c r="D14" i="6"/>
  <c r="D17" i="6"/>
  <c r="D16" i="6"/>
  <c r="D13" i="6"/>
  <c r="D20" i="6"/>
  <c r="D24" i="6"/>
  <c r="D21" i="6"/>
  <c r="D9" i="6"/>
  <c r="D11" i="6"/>
  <c r="D22" i="6"/>
  <c r="D19" i="6"/>
  <c r="D10" i="6"/>
  <c r="D12" i="6"/>
  <c r="C9" i="6"/>
  <c r="E9" i="6" s="1"/>
  <c r="C16" i="6"/>
  <c r="E16" i="6" s="1"/>
  <c r="C23" i="6"/>
  <c r="E23" i="6" s="1"/>
  <c r="C18" i="6"/>
  <c r="E18" i="6" s="1"/>
  <c r="C20" i="6"/>
  <c r="E20" i="6" s="1"/>
  <c r="C12" i="6"/>
  <c r="E12" i="6" s="1"/>
  <c r="C10" i="6"/>
  <c r="E10" i="6" s="1"/>
  <c r="C11" i="6"/>
  <c r="E11" i="6" s="1"/>
  <c r="C8" i="6"/>
  <c r="C21" i="6"/>
  <c r="E21" i="6" s="1"/>
  <c r="C13" i="6"/>
  <c r="E13" i="6" s="1"/>
  <c r="C15" i="6"/>
  <c r="E15" i="6" s="1"/>
  <c r="C17" i="6"/>
  <c r="E17" i="6" s="1"/>
  <c r="C19" i="6"/>
  <c r="E19" i="6" s="1"/>
  <c r="C24" i="6"/>
  <c r="E24" i="6" s="1"/>
  <c r="C14" i="6"/>
  <c r="E14" i="6" s="1"/>
  <c r="C22" i="6"/>
  <c r="E22" i="6" s="1"/>
  <c r="A22" i="6" l="1"/>
  <c r="F22" i="6"/>
  <c r="C26" i="6"/>
  <c r="A20" i="6"/>
  <c r="F17" i="6"/>
  <c r="H17" i="6" s="1"/>
  <c r="D26" i="6"/>
  <c r="F12" i="6"/>
  <c r="H12" i="6" s="1"/>
  <c r="F11" i="6"/>
  <c r="H11" i="6" s="1"/>
  <c r="F20" i="6"/>
  <c r="H20" i="6" s="1"/>
  <c r="F14" i="6"/>
  <c r="H14" i="6" s="1"/>
  <c r="F15" i="6"/>
  <c r="H15" i="6" s="1"/>
  <c r="A24" i="6"/>
  <c r="F24" i="6"/>
  <c r="A23" i="6"/>
  <c r="F23" i="6"/>
  <c r="H23" i="6" s="1"/>
  <c r="F10" i="6"/>
  <c r="H10" i="6" s="1"/>
  <c r="F9" i="6"/>
  <c r="H9" i="6" s="1"/>
  <c r="F13" i="6"/>
  <c r="H13" i="6" s="1"/>
  <c r="F18" i="6"/>
  <c r="H18" i="6" s="1"/>
  <c r="E8" i="6"/>
  <c r="F8" i="6" s="1"/>
  <c r="H8" i="6" s="1"/>
  <c r="I9" i="6" s="1"/>
  <c r="F21" i="6"/>
  <c r="H21" i="6" s="1"/>
  <c r="A21" i="6"/>
  <c r="F19" i="6"/>
  <c r="H19" i="6" s="1"/>
  <c r="F16" i="6"/>
  <c r="H16" i="6" s="1"/>
  <c r="H22" i="6"/>
  <c r="J9" i="6" l="1"/>
  <c r="I10" i="6"/>
  <c r="I11" i="6" l="1"/>
  <c r="J10" i="6"/>
  <c r="I12" i="6" l="1"/>
  <c r="J11" i="6"/>
  <c r="I13" i="6" l="1"/>
  <c r="J12" i="6"/>
  <c r="I14" i="6" l="1"/>
  <c r="J13" i="6"/>
  <c r="I15" i="6" l="1"/>
  <c r="J14" i="6"/>
  <c r="J15" i="6" l="1"/>
  <c r="I16" i="6"/>
  <c r="I17" i="6" l="1"/>
  <c r="J16" i="6"/>
  <c r="I18" i="6" l="1"/>
  <c r="J17" i="6"/>
  <c r="J18" i="6" l="1"/>
  <c r="I19" i="6"/>
  <c r="J19" i="6" l="1"/>
  <c r="I20" i="6"/>
  <c r="J20" i="6" l="1"/>
  <c r="I21" i="6"/>
  <c r="I22" i="6" l="1"/>
  <c r="J21" i="6"/>
  <c r="I23" i="6" l="1"/>
  <c r="J22" i="6"/>
  <c r="J23" i="6" l="1"/>
  <c r="I24" i="6"/>
  <c r="I25" i="6" l="1"/>
  <c r="J25" i="6" s="1"/>
  <c r="J24" i="6"/>
  <c r="N2" i="6" l="1"/>
  <c r="N3" i="6"/>
  <c r="M12" i="6"/>
  <c r="N12" i="6" s="1"/>
  <c r="Q12" i="6" s="1"/>
  <c r="M13" i="6"/>
  <c r="N13" i="6" s="1"/>
  <c r="M20" i="6"/>
  <c r="N20" i="6" s="1"/>
  <c r="M21" i="6"/>
  <c r="N21" i="6" s="1"/>
  <c r="M26" i="6"/>
  <c r="N26" i="6" s="1"/>
  <c r="M24" i="6"/>
  <c r="N24" i="6" s="1"/>
  <c r="M25" i="6"/>
  <c r="N25" i="6" s="1"/>
  <c r="M27" i="6"/>
  <c r="N27" i="6" s="1"/>
  <c r="O27" i="6" s="1"/>
  <c r="M23" i="6"/>
  <c r="N23" i="6"/>
  <c r="Q23" i="6" s="1"/>
  <c r="M22" i="6"/>
  <c r="N22" i="6"/>
  <c r="Q22" i="6" s="1"/>
  <c r="M19" i="6"/>
  <c r="N19" i="6"/>
  <c r="M18" i="6"/>
  <c r="N18" i="6"/>
  <c r="Q18" i="6" s="1"/>
  <c r="M17" i="6"/>
  <c r="N17" i="6"/>
  <c r="M16" i="6"/>
  <c r="N16" i="6" s="1"/>
  <c r="M15" i="6"/>
  <c r="N15" i="6" s="1"/>
  <c r="Q15" i="6" s="1"/>
  <c r="M14" i="6"/>
  <c r="N14" i="6" s="1"/>
  <c r="M11" i="6"/>
  <c r="N11" i="6" s="1"/>
  <c r="M10" i="6"/>
  <c r="N10" i="6" s="1"/>
  <c r="M9" i="6"/>
  <c r="N9" i="6" s="1"/>
  <c r="Q8" i="6" s="1"/>
  <c r="Q24" i="6" l="1"/>
  <c r="O26" i="6"/>
  <c r="O25" i="6" s="1"/>
  <c r="Q16" i="6"/>
  <c r="Q17" i="6"/>
  <c r="Q11" i="6"/>
  <c r="Q14" i="6"/>
  <c r="Q21" i="6"/>
  <c r="Q10" i="6"/>
  <c r="Q9" i="6"/>
  <c r="Q13" i="6"/>
  <c r="P3" i="6"/>
  <c r="P2" i="6"/>
  <c r="O24" i="6"/>
  <c r="P25" i="6"/>
  <c r="Q25" i="6" s="1"/>
  <c r="Q20" i="6"/>
  <c r="Q19" i="6"/>
  <c r="O23" i="6" l="1"/>
  <c r="P24" i="6"/>
  <c r="O22" i="6" l="1"/>
  <c r="P23" i="6"/>
  <c r="P22" i="6" l="1"/>
  <c r="O21" i="6"/>
  <c r="O20" i="6" l="1"/>
  <c r="P21" i="6"/>
  <c r="O19" i="6" l="1"/>
  <c r="P20" i="6"/>
  <c r="O18" i="6" l="1"/>
  <c r="P19" i="6"/>
  <c r="O17" i="6" l="1"/>
  <c r="P18" i="6"/>
  <c r="P17" i="6" l="1"/>
  <c r="O16" i="6"/>
  <c r="P16" i="6" l="1"/>
  <c r="O15" i="6"/>
  <c r="P15" i="6" l="1"/>
  <c r="O14" i="6"/>
  <c r="P14" i="6" l="1"/>
  <c r="O13" i="6"/>
  <c r="O12" i="6" l="1"/>
  <c r="P13" i="6"/>
  <c r="P12" i="6" l="1"/>
  <c r="O11" i="6"/>
  <c r="P11" i="6" l="1"/>
  <c r="O10" i="6"/>
  <c r="O9" i="6" l="1"/>
  <c r="P10" i="6"/>
  <c r="O8" i="6" l="1"/>
  <c r="P8" i="6" s="1"/>
  <c r="P9" i="6"/>
</calcChain>
</file>

<file path=xl/comments1.xml><?xml version="1.0" encoding="utf-8"?>
<comments xmlns="http://schemas.openxmlformats.org/spreadsheetml/2006/main">
  <authors>
    <author>Rob Dorrrington</author>
  </authors>
  <commentList>
    <comment ref="Q29" authorId="0">
      <text>
        <r>
          <rPr>
            <b/>
            <sz val="8"/>
            <color indexed="81"/>
            <rFont val="Tahoma"/>
            <family val="2"/>
          </rPr>
          <t>Following UN manual, however, if one is using this method when deaths not centred in middle of the two censuses then need to take a view on the completeness of one of the censuses</t>
        </r>
      </text>
    </comment>
  </commentList>
</comments>
</file>

<file path=xl/comments2.xml><?xml version="1.0" encoding="utf-8"?>
<comments xmlns="http://schemas.openxmlformats.org/spreadsheetml/2006/main">
  <authors>
    <author>Rob Dorrrington</author>
  </authors>
  <commentList>
    <comment ref="O1" authorId="0">
      <text>
        <r>
          <rPr>
            <b/>
            <sz val="12"/>
            <color indexed="81"/>
            <rFont val="Tahoma"/>
            <family val="2"/>
          </rPr>
          <t>These values are only valid if the standard is table used to smooth the rates (col AE) is appropriate. An approprite table produces a fit with most of the points in the graphs to the right lying close to the line.
As it stands this table is set up primarily to estimate e(65) to e(85).</t>
        </r>
      </text>
    </comment>
  </commentList>
</comments>
</file>

<file path=xl/sharedStrings.xml><?xml version="1.0" encoding="utf-8"?>
<sst xmlns="http://schemas.openxmlformats.org/spreadsheetml/2006/main" count="140" uniqueCount="110">
  <si>
    <t xml:space="preserve">Lower age= </t>
  </si>
  <si>
    <t>Fit from:</t>
  </si>
  <si>
    <t xml:space="preserve">Intercensal period = </t>
  </si>
  <si>
    <t>Upper age =</t>
  </si>
  <si>
    <t>Fit to:</t>
  </si>
  <si>
    <t>x</t>
  </si>
  <si>
    <t>Age</t>
  </si>
  <si>
    <t>Alpha  =</t>
  </si>
  <si>
    <t>45q15 =</t>
  </si>
  <si>
    <t>P1(x+)</t>
  </si>
  <si>
    <t>P2(x+)</t>
  </si>
  <si>
    <t>D(x+)</t>
  </si>
  <si>
    <t>PYL(x+)</t>
  </si>
  <si>
    <t>N(x)</t>
  </si>
  <si>
    <t>a+bx</t>
  </si>
  <si>
    <t>Beta   =</t>
  </si>
  <si>
    <t>35q15 =</t>
  </si>
  <si>
    <t xml:space="preserve">     0-4</t>
  </si>
  <si>
    <t xml:space="preserve">     5-9</t>
  </si>
  <si>
    <t xml:space="preserve">     10-14</t>
  </si>
  <si>
    <t xml:space="preserve">     15-19</t>
  </si>
  <si>
    <t xml:space="preserve">     20-24</t>
  </si>
  <si>
    <t xml:space="preserve">     25-29</t>
  </si>
  <si>
    <t xml:space="preserve">     30-34</t>
  </si>
  <si>
    <t xml:space="preserve">     35-39</t>
  </si>
  <si>
    <t xml:space="preserve">     40-44</t>
  </si>
  <si>
    <t xml:space="preserve">     45-49</t>
  </si>
  <si>
    <t xml:space="preserve">     50-54</t>
  </si>
  <si>
    <t xml:space="preserve">     55-59</t>
  </si>
  <si>
    <t xml:space="preserve">     60-64</t>
  </si>
  <si>
    <t>Total</t>
  </si>
  <si>
    <t>k1/k2 =</t>
  </si>
  <si>
    <t>k1 =</t>
  </si>
  <si>
    <t>k2 =</t>
  </si>
  <si>
    <t>k1*k2 =</t>
  </si>
  <si>
    <t>a =</t>
  </si>
  <si>
    <t>b =</t>
  </si>
  <si>
    <t>Country:</t>
  </si>
  <si>
    <t>South Africa</t>
  </si>
  <si>
    <t>Mid-point of censuses:</t>
  </si>
  <si>
    <t>Age range over which line to be fitted</t>
  </si>
  <si>
    <t>Males</t>
  </si>
  <si>
    <t>Sex</t>
  </si>
  <si>
    <t>WARNING</t>
  </si>
  <si>
    <t>NM(x+)</t>
  </si>
  <si>
    <t>r(x+)-i(x+)</t>
  </si>
  <si>
    <t xml:space="preserve">This method is described at: </t>
  </si>
  <si>
    <t>Application</t>
  </si>
  <si>
    <r>
      <t xml:space="preserve">Remove all numbers from cells </t>
    </r>
    <r>
      <rPr>
        <b/>
        <sz val="12"/>
        <rFont val="Arial"/>
        <family val="2"/>
      </rPr>
      <t>C8:F25</t>
    </r>
    <r>
      <rPr>
        <sz val="12"/>
        <rFont val="Arial"/>
        <family val="2"/>
      </rPr>
      <t xml:space="preserve"> in the </t>
    </r>
    <r>
      <rPr>
        <b/>
        <i/>
        <sz val="12"/>
        <rFont val="Arial"/>
        <family val="2"/>
      </rPr>
      <t>Method</t>
    </r>
    <r>
      <rPr>
        <sz val="12"/>
        <rFont val="Arial"/>
        <family val="2"/>
      </rPr>
      <t xml:space="preserve"> spreadsheet.</t>
    </r>
  </si>
  <si>
    <t>Estimation of adult mortality using the Growth Balance model - Instructions</t>
  </si>
  <si>
    <t>&lt;-- must be less than</t>
  </si>
  <si>
    <t>Input parameters</t>
  </si>
  <si>
    <t>Name of country/population:</t>
  </si>
  <si>
    <t>Sex:</t>
  </si>
  <si>
    <t>Select standard life table:</t>
  </si>
  <si>
    <t>Princeton West</t>
  </si>
  <si>
    <t>Date of first census:</t>
  </si>
  <si>
    <t>Date of second census:</t>
  </si>
  <si>
    <r>
      <t xml:space="preserve">Model life table logits </t>
    </r>
    <r>
      <rPr>
        <b/>
        <i/>
        <sz val="12"/>
        <rFont val="Arial"/>
        <family val="2"/>
      </rPr>
      <t>e</t>
    </r>
    <r>
      <rPr>
        <b/>
        <vertAlign val="subscript"/>
        <sz val="12"/>
        <rFont val="Arial"/>
        <family val="2"/>
      </rPr>
      <t>0</t>
    </r>
    <r>
      <rPr>
        <b/>
        <sz val="12"/>
        <rFont val="Arial"/>
        <family val="2"/>
      </rPr>
      <t>=60, female</t>
    </r>
  </si>
  <si>
    <r>
      <t>Women</t>
    </r>
    <r>
      <rPr>
        <b/>
        <i/>
        <sz val="12"/>
        <rFont val="Arial Narrow"/>
        <family val="2"/>
      </rPr>
      <t xml:space="preserve"> e</t>
    </r>
    <r>
      <rPr>
        <b/>
        <vertAlign val="subscript"/>
        <sz val="12"/>
        <rFont val="Arial Narrow"/>
        <family val="2"/>
      </rPr>
      <t>0</t>
    </r>
    <r>
      <rPr>
        <b/>
        <sz val="12"/>
        <rFont val="Arial Narrow"/>
        <family val="2"/>
      </rPr>
      <t>=55</t>
    </r>
  </si>
  <si>
    <r>
      <t xml:space="preserve">Model life table logits </t>
    </r>
    <r>
      <rPr>
        <b/>
        <i/>
        <sz val="12"/>
        <rFont val="Arial"/>
        <family val="2"/>
      </rPr>
      <t>e</t>
    </r>
    <r>
      <rPr>
        <b/>
        <vertAlign val="subscript"/>
        <sz val="12"/>
        <rFont val="Arial"/>
        <family val="2"/>
      </rPr>
      <t>0</t>
    </r>
    <r>
      <rPr>
        <b/>
        <sz val="12"/>
        <rFont val="Arial"/>
        <family val="2"/>
      </rPr>
      <t>=60, male</t>
    </r>
  </si>
  <si>
    <r>
      <t xml:space="preserve">Men </t>
    </r>
    <r>
      <rPr>
        <b/>
        <i/>
        <sz val="12"/>
        <rFont val="Arial Narrow"/>
        <family val="2"/>
      </rPr>
      <t>e</t>
    </r>
    <r>
      <rPr>
        <b/>
        <vertAlign val="subscript"/>
        <sz val="12"/>
        <rFont val="Arial Narrow"/>
        <family val="2"/>
      </rPr>
      <t>0</t>
    </r>
    <r>
      <rPr>
        <b/>
        <sz val="12"/>
        <rFont val="Arial Narrow"/>
        <family val="2"/>
      </rPr>
      <t>=50</t>
    </r>
  </si>
  <si>
    <t>UN General</t>
  </si>
  <si>
    <t>Princeton East</t>
  </si>
  <si>
    <t>Princeton North</t>
  </si>
  <si>
    <t>Princeton South</t>
  </si>
  <si>
    <t>AIDS</t>
  </si>
  <si>
    <t>Other</t>
  </si>
  <si>
    <t>Standard life table</t>
  </si>
  <si>
    <t>Modified</t>
  </si>
  <si>
    <r>
      <rPr>
        <b/>
        <i/>
        <sz val="11"/>
        <rFont val="Arial"/>
        <family val="2"/>
      </rPr>
      <t>e</t>
    </r>
    <r>
      <rPr>
        <b/>
        <vertAlign val="subscript"/>
        <sz val="11"/>
        <rFont val="Arial"/>
        <family val="2"/>
      </rPr>
      <t>0</t>
    </r>
    <r>
      <rPr>
        <b/>
        <sz val="11"/>
        <rFont val="Arial"/>
        <family val="2"/>
      </rPr>
      <t xml:space="preserve"> = 60</t>
    </r>
  </si>
  <si>
    <t>Standard</t>
  </si>
  <si>
    <r>
      <rPr>
        <b/>
        <i/>
        <sz val="11"/>
        <rFont val="Arial"/>
        <family val="2"/>
      </rPr>
      <t>Y</t>
    </r>
    <r>
      <rPr>
        <b/>
        <vertAlign val="subscript"/>
        <sz val="11"/>
        <rFont val="Arial"/>
        <family val="2"/>
      </rPr>
      <t>s</t>
    </r>
    <r>
      <rPr>
        <b/>
        <sz val="11"/>
        <rFont val="Arial"/>
        <family val="2"/>
      </rPr>
      <t>(</t>
    </r>
    <r>
      <rPr>
        <b/>
        <i/>
        <sz val="11"/>
        <rFont val="Arial"/>
        <family val="2"/>
      </rPr>
      <t>x</t>
    </r>
    <r>
      <rPr>
        <b/>
        <sz val="11"/>
        <rFont val="Arial"/>
        <family val="2"/>
      </rPr>
      <t>)</t>
    </r>
  </si>
  <si>
    <r>
      <rPr>
        <b/>
        <i/>
        <sz val="12"/>
        <rFont val="Arial"/>
        <family val="2"/>
      </rPr>
      <t>l</t>
    </r>
    <r>
      <rPr>
        <b/>
        <sz val="11"/>
        <rFont val="Arial"/>
        <family val="2"/>
      </rPr>
      <t>(</t>
    </r>
    <r>
      <rPr>
        <b/>
        <i/>
        <sz val="11"/>
        <rFont val="Arial"/>
        <family val="2"/>
      </rPr>
      <t>x</t>
    </r>
    <r>
      <rPr>
        <b/>
        <sz val="11"/>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</si>
  <si>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1</t>
    </r>
    <r>
      <rPr>
        <b/>
        <sz val="10"/>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</si>
  <si>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2</t>
    </r>
    <r>
      <rPr>
        <b/>
        <sz val="10"/>
        <rFont val="Arial"/>
        <family val="2"/>
      </rPr>
      <t>)</t>
    </r>
  </si>
  <si>
    <r>
      <t>5</t>
    </r>
    <r>
      <rPr>
        <b/>
        <i/>
        <sz val="10"/>
        <rFont val="Arial"/>
        <family val="2"/>
      </rPr>
      <t>D</t>
    </r>
    <r>
      <rPr>
        <b/>
        <i/>
        <vertAlign val="subscript"/>
        <sz val="10"/>
        <rFont val="Arial"/>
        <family val="2"/>
      </rPr>
      <t>x</t>
    </r>
  </si>
  <si>
    <r>
      <t>5</t>
    </r>
    <r>
      <rPr>
        <b/>
        <i/>
        <sz val="10"/>
        <rFont val="Arial"/>
        <family val="2"/>
      </rPr>
      <t>NM</t>
    </r>
    <r>
      <rPr>
        <b/>
        <i/>
        <vertAlign val="subscript"/>
        <sz val="10"/>
        <rFont val="Arial"/>
        <family val="2"/>
      </rPr>
      <t>x</t>
    </r>
  </si>
  <si>
    <r>
      <rPr>
        <b/>
        <vertAlign val="subscript"/>
        <sz val="10"/>
        <rFont val="Arial"/>
        <family val="2"/>
      </rPr>
      <t>5</t>
    </r>
    <r>
      <rPr>
        <b/>
        <i/>
        <sz val="10"/>
        <rFont val="Arial"/>
        <family val="2"/>
      </rPr>
      <t>q</t>
    </r>
    <r>
      <rPr>
        <b/>
        <i/>
        <vertAlign val="subscript"/>
        <sz val="10"/>
        <rFont val="Arial"/>
        <family val="2"/>
      </rPr>
      <t>x</t>
    </r>
  </si>
  <si>
    <r>
      <rPr>
        <b/>
        <i/>
        <sz val="10"/>
        <rFont val="Arial"/>
        <family val="2"/>
      </rPr>
      <t>l</t>
    </r>
    <r>
      <rPr>
        <b/>
        <i/>
        <vertAlign val="subscript"/>
        <sz val="10"/>
        <rFont val="Arial"/>
        <family val="2"/>
      </rPr>
      <t>x</t>
    </r>
    <r>
      <rPr>
        <b/>
        <sz val="10"/>
        <rFont val="Arial"/>
        <family val="2"/>
      </rPr>
      <t>/</t>
    </r>
    <r>
      <rPr>
        <b/>
        <i/>
        <sz val="10"/>
        <rFont val="Arial"/>
        <family val="2"/>
      </rPr>
      <t>l</t>
    </r>
    <r>
      <rPr>
        <b/>
        <vertAlign val="subscript"/>
        <sz val="10"/>
        <rFont val="Arial"/>
        <family val="2"/>
      </rPr>
      <t>5</t>
    </r>
  </si>
  <si>
    <r>
      <t xml:space="preserve">Obs. </t>
    </r>
    <r>
      <rPr>
        <b/>
        <i/>
        <sz val="10"/>
        <rFont val="Arial"/>
        <family val="2"/>
      </rPr>
      <t>Y</t>
    </r>
    <r>
      <rPr>
        <b/>
        <sz val="10"/>
        <rFont val="Arial"/>
        <family val="2"/>
      </rPr>
      <t>(</t>
    </r>
    <r>
      <rPr>
        <b/>
        <i/>
        <sz val="10"/>
        <rFont val="Arial"/>
        <family val="2"/>
      </rPr>
      <t>x</t>
    </r>
    <r>
      <rPr>
        <b/>
        <sz val="10"/>
        <rFont val="Arial"/>
        <family val="2"/>
      </rPr>
      <t>)</t>
    </r>
  </si>
  <si>
    <r>
      <t xml:space="preserve">Cdn. </t>
    </r>
    <r>
      <rPr>
        <b/>
        <i/>
        <sz val="10"/>
        <rFont val="Arial"/>
        <family val="2"/>
      </rPr>
      <t>Ys</t>
    </r>
    <r>
      <rPr>
        <b/>
        <sz val="10"/>
        <rFont val="Arial"/>
        <family val="2"/>
      </rPr>
      <t>(</t>
    </r>
    <r>
      <rPr>
        <b/>
        <i/>
        <sz val="10"/>
        <rFont val="Arial"/>
        <family val="2"/>
      </rPr>
      <t>x</t>
    </r>
    <r>
      <rPr>
        <b/>
        <sz val="10"/>
        <rFont val="Arial"/>
        <family val="2"/>
      </rPr>
      <t>)</t>
    </r>
  </si>
  <si>
    <r>
      <t xml:space="preserve">Fitted </t>
    </r>
    <r>
      <rPr>
        <b/>
        <i/>
        <sz val="10"/>
        <rFont val="Arial"/>
        <family val="2"/>
      </rPr>
      <t>Y</t>
    </r>
    <r>
      <rPr>
        <b/>
        <sz val="10"/>
        <rFont val="Arial"/>
        <family val="2"/>
      </rPr>
      <t>(x)</t>
    </r>
  </si>
  <si>
    <r>
      <t xml:space="preserve">Fitted </t>
    </r>
    <r>
      <rPr>
        <b/>
        <i/>
        <sz val="10"/>
        <rFont val="Arial"/>
        <family val="2"/>
      </rPr>
      <t>l</t>
    </r>
    <r>
      <rPr>
        <b/>
        <sz val="10"/>
        <rFont val="Arial"/>
        <family val="2"/>
      </rPr>
      <t>(</t>
    </r>
    <r>
      <rPr>
        <b/>
        <i/>
        <sz val="10"/>
        <rFont val="Arial"/>
        <family val="2"/>
      </rPr>
      <t>x</t>
    </r>
    <r>
      <rPr>
        <b/>
        <sz val="10"/>
        <rFont val="Arial"/>
        <family val="2"/>
      </rPr>
      <t>)</t>
    </r>
  </si>
  <si>
    <r>
      <rPr>
        <b/>
        <i/>
        <sz val="10"/>
        <rFont val="Arial"/>
        <family val="2"/>
      </rPr>
      <t>T</t>
    </r>
    <r>
      <rPr>
        <b/>
        <sz val="10"/>
        <rFont val="Arial"/>
        <family val="2"/>
      </rPr>
      <t>(</t>
    </r>
    <r>
      <rPr>
        <b/>
        <i/>
        <sz val="10"/>
        <rFont val="Arial"/>
        <family val="2"/>
      </rPr>
      <t>x</t>
    </r>
    <r>
      <rPr>
        <b/>
        <sz val="10"/>
        <rFont val="Arial"/>
        <family val="2"/>
      </rPr>
      <t>)</t>
    </r>
  </si>
  <si>
    <r>
      <rPr>
        <b/>
        <i/>
        <sz val="10"/>
        <rFont val="Arial"/>
        <family val="2"/>
      </rPr>
      <t>e</t>
    </r>
    <r>
      <rPr>
        <b/>
        <sz val="10"/>
        <rFont val="Arial"/>
        <family val="2"/>
      </rPr>
      <t>(</t>
    </r>
    <r>
      <rPr>
        <b/>
        <i/>
        <sz val="10"/>
        <rFont val="Arial"/>
        <family val="2"/>
      </rPr>
      <t>x</t>
    </r>
    <r>
      <rPr>
        <b/>
        <sz val="10"/>
        <rFont val="Arial"/>
        <family val="2"/>
      </rPr>
      <t>)</t>
    </r>
  </si>
  <si>
    <r>
      <t>Completeness,</t>
    </r>
    <r>
      <rPr>
        <b/>
        <i/>
        <sz val="10"/>
        <rFont val="Arial"/>
        <family val="2"/>
      </rPr>
      <t xml:space="preserve"> C =</t>
    </r>
  </si>
  <si>
    <t>d(x+) = X</t>
  </si>
  <si>
    <t>Residuals y-(a+bx)</t>
  </si>
  <si>
    <r>
      <rPr>
        <b/>
        <sz val="10"/>
        <rFont val="Arial"/>
        <family val="2"/>
      </rPr>
      <t>Adjusted</t>
    </r>
    <r>
      <rPr>
        <b/>
        <vertAlign val="subscript"/>
        <sz val="10"/>
        <rFont val="Arial"/>
        <family val="2"/>
      </rPr>
      <t xml:space="preserve"> 5</t>
    </r>
    <r>
      <rPr>
        <b/>
        <i/>
        <sz val="10"/>
        <rFont val="Arial"/>
        <family val="2"/>
      </rPr>
      <t>D</t>
    </r>
    <r>
      <rPr>
        <b/>
        <i/>
        <vertAlign val="subscript"/>
        <sz val="10"/>
        <rFont val="Arial"/>
        <family val="2"/>
      </rPr>
      <t>x</t>
    </r>
  </si>
  <si>
    <t>Adjusted PYL(x,5)</t>
  </si>
  <si>
    <r>
      <t xml:space="preserve">Adjusted </t>
    </r>
    <r>
      <rPr>
        <b/>
        <vertAlign val="subscript"/>
        <sz val="10"/>
        <rFont val="Arial"/>
        <family val="2"/>
      </rPr>
      <t>5</t>
    </r>
    <r>
      <rPr>
        <b/>
        <i/>
        <sz val="10"/>
        <rFont val="Arial"/>
        <family val="2"/>
      </rPr>
      <t>m</t>
    </r>
    <r>
      <rPr>
        <b/>
        <i/>
        <vertAlign val="subscript"/>
        <sz val="10"/>
        <rFont val="Arial"/>
        <family val="2"/>
      </rPr>
      <t>x</t>
    </r>
  </si>
  <si>
    <r>
      <t xml:space="preserve">Smoothed </t>
    </r>
    <r>
      <rPr>
        <b/>
        <vertAlign val="subscript"/>
        <sz val="10"/>
        <rFont val="Arial"/>
        <family val="2"/>
      </rPr>
      <t>5</t>
    </r>
    <r>
      <rPr>
        <b/>
        <i/>
        <sz val="10"/>
        <rFont val="Arial"/>
        <family val="2"/>
      </rPr>
      <t>m</t>
    </r>
    <r>
      <rPr>
        <b/>
        <i/>
        <vertAlign val="subscript"/>
        <sz val="10"/>
        <rFont val="Arial"/>
        <family val="2"/>
      </rPr>
      <t>x</t>
    </r>
  </si>
  <si>
    <r>
      <rPr>
        <b/>
        <sz val="10"/>
        <rFont val="Arial"/>
        <family val="2"/>
      </rPr>
      <t xml:space="preserve">Ajusted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1</t>
    </r>
    <r>
      <rPr>
        <b/>
        <sz val="10"/>
        <rFont val="Arial"/>
        <family val="2"/>
      </rPr>
      <t>)</t>
    </r>
  </si>
  <si>
    <r>
      <rPr>
        <b/>
        <sz val="10"/>
        <rFont val="Arial"/>
        <family val="2"/>
      </rPr>
      <t xml:space="preserve">Ajusted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2</t>
    </r>
    <r>
      <rPr>
        <b/>
        <sz val="10"/>
        <rFont val="Arial"/>
        <family val="2"/>
      </rPr>
      <t>)</t>
    </r>
  </si>
  <si>
    <t>This spreadsheet estimates the completeness of reporting of adult deaths over the inter-survey period. The spreadsheet can also be used to estimate completeness for reporting of deaths over a period where one has only one census, provided the population can be assumed to be stable. The spreadsheet also provides the means to smooth the adjusted age-specific death rates against a standard life table, provided one has access to a model life table that is appropriate (has similar shape) to that of the country being considered.</t>
  </si>
  <si>
    <t>Enter the sex of the population in cell to the right</t>
  </si>
  <si>
    <t>Select the name of family of model life tables against which you want to assess the level and trend in mortality in this population using the drop down box to the right of this cell</t>
  </si>
  <si>
    <t>Enter the date of the first census (YYYY/MM/DD) in the cell to the right</t>
  </si>
  <si>
    <t>Enter the date of the second census (YYYY/MM/DD) in the cell to the right</t>
  </si>
  <si>
    <r>
      <t xml:space="preserve">Ensure that all data has the same age at open interval. Paste estimates of the 1st population numbers into cells </t>
    </r>
    <r>
      <rPr>
        <b/>
        <sz val="12"/>
        <rFont val="Arial"/>
        <family val="2"/>
      </rPr>
      <t>C8:C25</t>
    </r>
    <r>
      <rPr>
        <sz val="12"/>
        <rFont val="Arial"/>
        <family val="2"/>
      </rPr>
      <t xml:space="preserve">, the estimates of the 2nd population numbers into cells </t>
    </r>
    <r>
      <rPr>
        <b/>
        <sz val="12"/>
        <rFont val="Arial"/>
        <family val="2"/>
      </rPr>
      <t>D8:D25</t>
    </r>
    <r>
      <rPr>
        <sz val="12"/>
        <rFont val="Arial"/>
        <family val="2"/>
      </rPr>
      <t xml:space="preserve"> and numbers of deaths into cells </t>
    </r>
    <r>
      <rPr>
        <b/>
        <sz val="12"/>
        <rFont val="Arial"/>
        <family val="2"/>
      </rPr>
      <t>E8:E25</t>
    </r>
    <r>
      <rPr>
        <sz val="12"/>
        <rFont val="Arial"/>
        <family val="2"/>
      </rPr>
      <t xml:space="preserve"> (and number of migrants, if you have reliable estimates, into cells </t>
    </r>
    <r>
      <rPr>
        <b/>
        <sz val="12"/>
        <rFont val="Arial"/>
        <family val="2"/>
      </rPr>
      <t>F8:F25</t>
    </r>
    <r>
      <rPr>
        <sz val="12"/>
        <rFont val="Arial"/>
        <family val="2"/>
      </rPr>
      <t xml:space="preserve">) in the </t>
    </r>
    <r>
      <rPr>
        <b/>
        <i/>
        <sz val="12"/>
        <rFont val="Arial"/>
        <family val="2"/>
      </rPr>
      <t>Method</t>
    </r>
    <r>
      <rPr>
        <sz val="12"/>
        <rFont val="Arial"/>
        <family val="2"/>
      </rPr>
      <t xml:space="preserve"> spreadsheet.</t>
    </r>
  </si>
  <si>
    <t>b(x+)</t>
  </si>
  <si>
    <t>b(x+)-r(x+) +i(x+) = Y</t>
  </si>
  <si>
    <t>http://demographicestimation.iussp.org/content/generalized-growth-balance-method</t>
  </si>
  <si>
    <r>
      <t xml:space="preserve">The estimate of completeness appears in cell </t>
    </r>
    <r>
      <rPr>
        <b/>
        <sz val="12"/>
        <rFont val="Arial"/>
        <family val="2"/>
      </rPr>
      <t>Q33</t>
    </r>
    <r>
      <rPr>
        <sz val="12"/>
        <rFont val="Arial"/>
        <family val="2"/>
      </rPr>
      <t xml:space="preserve"> in the </t>
    </r>
    <r>
      <rPr>
        <b/>
        <i/>
        <sz val="12"/>
        <rFont val="Arial"/>
        <family val="2"/>
      </rPr>
      <t>Method</t>
    </r>
    <r>
      <rPr>
        <sz val="12"/>
        <rFont val="Arial"/>
        <family val="2"/>
      </rPr>
      <t xml:space="preserve"> spreadsheet.</t>
    </r>
  </si>
  <si>
    <r>
      <t xml:space="preserve">The estimates of mortality rates adjusted for incompleteness of registration and relative undercount of the one census to the other appear in cells </t>
    </r>
    <r>
      <rPr>
        <b/>
        <sz val="12"/>
        <rFont val="Arial"/>
        <family val="2"/>
      </rPr>
      <t>F8:F24</t>
    </r>
    <r>
      <rPr>
        <sz val="12"/>
        <rFont val="Arial"/>
        <family val="2"/>
      </rPr>
      <t xml:space="preserve"> in the </t>
    </r>
    <r>
      <rPr>
        <b/>
        <i/>
        <sz val="12"/>
        <rFont val="Arial"/>
        <family val="2"/>
      </rPr>
      <t>Mortality rates</t>
    </r>
    <r>
      <rPr>
        <sz val="12"/>
        <rFont val="Arial"/>
        <family val="2"/>
      </rPr>
      <t xml:space="preserve"> spreadsheet.</t>
    </r>
  </si>
  <si>
    <r>
      <t xml:space="preserve">Inspect the diagnostic plot and decide on the age interval over which the line is to be fitted (cells </t>
    </r>
    <r>
      <rPr>
        <b/>
        <sz val="12"/>
        <rFont val="Arial"/>
        <family val="2"/>
      </rPr>
      <t>L2</t>
    </r>
    <r>
      <rPr>
        <sz val="12"/>
        <rFont val="Arial"/>
        <family val="2"/>
      </rPr>
      <t xml:space="preserve"> &amp; </t>
    </r>
    <r>
      <rPr>
        <b/>
        <sz val="12"/>
        <rFont val="Arial"/>
        <family val="2"/>
      </rPr>
      <t>L3</t>
    </r>
    <r>
      <rPr>
        <sz val="12"/>
        <rFont val="Arial"/>
        <family val="2"/>
      </rPr>
      <t>).</t>
    </r>
  </si>
  <si>
    <r>
      <t xml:space="preserve">Smoothed mortality rates appear in cells </t>
    </r>
    <r>
      <rPr>
        <b/>
        <sz val="12"/>
        <rFont val="Arial"/>
        <family val="2"/>
      </rPr>
      <t xml:space="preserve">Q8:Q25 </t>
    </r>
    <r>
      <rPr>
        <sz val="12"/>
        <rFont val="Arial"/>
        <family val="2"/>
      </rPr>
      <t xml:space="preserve"> of the </t>
    </r>
    <r>
      <rPr>
        <b/>
        <i/>
        <sz val="12"/>
        <rFont val="Arial"/>
        <family val="2"/>
      </rPr>
      <t>Mortality rates</t>
    </r>
    <r>
      <rPr>
        <sz val="12"/>
        <rFont val="Arial"/>
        <family val="2"/>
      </rPr>
      <t xml:space="preserve"> spreadsheet.</t>
    </r>
  </si>
  <si>
    <r>
      <t xml:space="preserve">Enter the name of the population in cell </t>
    </r>
    <r>
      <rPr>
        <b/>
        <sz val="12"/>
        <rFont val="Arial"/>
        <family val="2"/>
      </rPr>
      <t>D9</t>
    </r>
    <r>
      <rPr>
        <sz val="12"/>
        <rFont val="Arial"/>
        <family val="2"/>
      </rPr>
      <t/>
    </r>
  </si>
  <si>
    <r>
      <t xml:space="preserve">Set cell </t>
    </r>
    <r>
      <rPr>
        <b/>
        <sz val="12"/>
        <rFont val="Arial"/>
        <family val="2"/>
      </rPr>
      <t>L3</t>
    </r>
    <r>
      <rPr>
        <sz val="12"/>
        <rFont val="Arial"/>
        <family val="2"/>
      </rPr>
      <t xml:space="preserve"> in the </t>
    </r>
    <r>
      <rPr>
        <b/>
        <i/>
        <sz val="12"/>
        <rFont val="Arial"/>
        <family val="2"/>
      </rPr>
      <t>Method</t>
    </r>
    <r>
      <rPr>
        <sz val="12"/>
        <rFont val="Arial"/>
        <family val="2"/>
      </rPr>
      <t xml:space="preserve"> spreadsheet to 1 less than the age at the start of the open interval.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</si>
</sst>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 * #,##0.00_ ;_ * \-#,##0.00_ ;_ * &quot;-&quot;??_ ;_ @_ "/>
    <numFmt numFmtId="165" formatCode="0.00000"/>
    <numFmt numFmtId="166" formatCode="#,##0.0000_);\(#,##0.0000\)"/>
    <numFmt numFmtId="167" formatCode="0.00_)"/>
    <numFmt numFmtId="168" formatCode="0.0000_)"/>
    <numFmt numFmtId="169" formatCode="0.000"/>
    <numFmt numFmtId="170" formatCode="0_)"/>
    <numFmt numFmtId="171" formatCode="0.0%"/>
    <numFmt numFmtId="172" formatCode="_ * #,##0_ ;_ * \-#,##0_ ;_ * &quot;-&quot;??_ ;_ @_ "/>
    <numFmt numFmtId="173" formatCode="General_)"/>
    <numFmt numFmtId="174" formatCode="0.00_ ;\-0.00\ "/>
    <numFmt numFmtId="175" formatCode="yyyy/mm/dd;@"/>
    <numFmt numFmtId="176" formatCode="0.000_)"/>
    <numFmt numFmtId="177" formatCode="0.0000"/>
    <numFmt numFmtId="178" formatCode="0.0_)"/>
    <numFmt numFmtId="179" formatCode="_ * #,##0.00000_ ;_ * \-#,##0.00000_ ;_ * &quot;-&quot;??_ ;_ @_ "/>
  </numFmts>
  <fonts count="32">
    <font>
      <sz val="10"/>
      <name val="Arial"/>
    </font>
    <font>
      <sz val="11"/>
      <name val="Times New Roman"/>
      <family val="1"/>
    </font>
    <font>
      <sz val="11"/>
      <color indexed="12"/>
      <name val="Times New Roman"/>
      <family val="1"/>
    </font>
    <font>
      <sz val="10"/>
      <name val="Arial"/>
      <family val="2"/>
    </font>
    <font>
      <b/>
      <sz val="8"/>
      <color indexed="81"/>
      <name val="Tahoma"/>
      <family val="2"/>
    </font>
    <font>
      <b/>
      <sz val="10"/>
      <name val="Arial"/>
      <family val="2"/>
    </font>
    <font>
      <sz val="10"/>
      <name val="Arial"/>
      <family val="2"/>
    </font>
    <font>
      <sz val="12"/>
      <name val="Arial Narrow"/>
      <family val="2"/>
    </font>
    <font>
      <b/>
      <sz val="12"/>
      <name val="Arial Narrow"/>
      <family val="2"/>
    </font>
    <font>
      <b/>
      <i/>
      <sz val="12"/>
      <name val="Arial Narrow"/>
      <family val="2"/>
    </font>
    <font>
      <b/>
      <vertAlign val="subscript"/>
      <sz val="12"/>
      <name val="Arial Narrow"/>
      <family val="2"/>
    </font>
    <font>
      <b/>
      <sz val="12"/>
      <color indexed="81"/>
      <name val="Tahoma"/>
      <family val="2"/>
    </font>
    <font>
      <u/>
      <sz val="10"/>
      <color theme="10"/>
      <name val="Arial"/>
      <family val="2"/>
    </font>
    <font>
      <b/>
      <sz val="12"/>
      <name val="Arial"/>
      <family val="2"/>
    </font>
    <font>
      <sz val="12"/>
      <name val="Arial"/>
      <family val="2"/>
    </font>
    <font>
      <u/>
      <sz val="12"/>
      <color theme="10"/>
      <name val="Arial"/>
      <family val="2"/>
    </font>
    <font>
      <b/>
      <i/>
      <sz val="12"/>
      <name val="Arial"/>
      <family val="2"/>
    </font>
    <font>
      <sz val="12"/>
      <name val="Courier"/>
      <family val="3"/>
    </font>
    <font>
      <b/>
      <vertAlign val="subscript"/>
      <sz val="12"/>
      <name val="Arial"/>
      <family val="2"/>
    </font>
    <font>
      <b/>
      <sz val="11"/>
      <name val="Arial"/>
      <family val="2"/>
    </font>
    <font>
      <b/>
      <i/>
      <sz val="11"/>
      <name val="Arial"/>
      <family val="2"/>
    </font>
    <font>
      <b/>
      <vertAlign val="subscript"/>
      <sz val="11"/>
      <name val="Arial"/>
      <family val="2"/>
    </font>
    <font>
      <sz val="11"/>
      <color indexed="8"/>
      <name val="Calibri"/>
      <family val="2"/>
    </font>
    <font>
      <sz val="8"/>
      <name val="SAS Monospace"/>
    </font>
    <font>
      <sz val="10"/>
      <name val="Courier"/>
      <family val="3"/>
    </font>
    <font>
      <b/>
      <sz val="10"/>
      <color rgb="FFFF0000"/>
      <name val="Arial"/>
      <family val="2"/>
    </font>
    <font>
      <sz val="10"/>
      <color rgb="FFFF0000"/>
      <name val="Arial"/>
      <family val="2"/>
    </font>
    <font>
      <b/>
      <i/>
      <sz val="10"/>
      <name val="Arial"/>
      <family val="2"/>
    </font>
    <font>
      <b/>
      <vertAlign val="subscript"/>
      <sz val="10"/>
      <name val="Arial"/>
      <family val="2"/>
    </font>
    <font>
      <b/>
      <i/>
      <vertAlign val="subscript"/>
      <sz val="10"/>
      <name val="Arial"/>
      <family val="2"/>
    </font>
    <font>
      <sz val="10"/>
      <color indexed="10"/>
      <name val="Arial"/>
      <family val="2"/>
    </font>
    <font>
      <b/>
      <sz val="10"/>
      <color theme="1"/>
      <name val="Arial"/>
      <family val="2"/>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theme="0"/>
        <bgColor indexed="64"/>
      </patternFill>
    </fill>
    <fill>
      <patternFill patternType="solid">
        <fgColor theme="6" tint="0.39994506668294322"/>
        <bgColor indexed="64"/>
      </patternFill>
    </fill>
    <fill>
      <patternFill patternType="solid">
        <fgColor rgb="FFFFEB9B"/>
        <bgColor indexed="64"/>
      </patternFill>
    </fill>
  </fills>
  <borders count="13">
    <border>
      <left/>
      <right/>
      <top/>
      <bottom/>
      <diagonal/>
    </border>
    <border>
      <left/>
      <right/>
      <top/>
      <bottom style="thin">
        <color indexed="64"/>
      </bottom>
      <diagonal/>
    </border>
    <border>
      <left/>
      <right/>
      <top style="thin">
        <color auto="1"/>
      </top>
      <bottom style="thin">
        <color auto="1"/>
      </bottom>
      <diagonal/>
    </border>
    <border>
      <left style="thin">
        <color theme="9" tint="-0.249977111117893"/>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auto="1"/>
      </left>
      <right/>
      <top/>
      <bottom style="medium">
        <color auto="1"/>
      </bottom>
      <diagonal/>
    </border>
    <border>
      <left/>
      <right style="medium">
        <color auto="1"/>
      </right>
      <top/>
      <bottom style="medium">
        <color auto="1"/>
      </bottom>
      <diagonal/>
    </border>
    <border>
      <left/>
      <right/>
      <top style="thin">
        <color indexed="64"/>
      </top>
      <bottom/>
      <diagonal/>
    </border>
  </borders>
  <cellStyleXfs count="15">
    <xf numFmtId="0" fontId="0" fillId="0" borderId="0"/>
    <xf numFmtId="9" fontId="3" fillId="0" borderId="0" applyFont="0" applyFill="0" applyBorder="0" applyAlignment="0" applyProtection="0"/>
    <xf numFmtId="0" fontId="3" fillId="0" borderId="0"/>
    <xf numFmtId="0" fontId="3" fillId="0" borderId="0"/>
    <xf numFmtId="164" fontId="6" fillId="0" borderId="0" applyFont="0" applyFill="0" applyBorder="0" applyAlignment="0" applyProtection="0"/>
    <xf numFmtId="0" fontId="12" fillId="0" borderId="0" applyNumberFormat="0" applyFill="0" applyBorder="0" applyAlignment="0" applyProtection="0">
      <alignment vertical="top"/>
      <protection locked="0"/>
    </xf>
    <xf numFmtId="0" fontId="3" fillId="0" borderId="0"/>
    <xf numFmtId="173" fontId="17" fillId="0" borderId="0"/>
    <xf numFmtId="164" fontId="22" fillId="0" borderId="0" applyFont="0" applyFill="0" applyBorder="0" applyAlignment="0" applyProtection="0"/>
    <xf numFmtId="0" fontId="23" fillId="0" borderId="0"/>
    <xf numFmtId="168" fontId="24" fillId="0" borderId="0"/>
    <xf numFmtId="0" fontId="3" fillId="0" borderId="0"/>
    <xf numFmtId="0" fontId="3" fillId="0" borderId="0"/>
    <xf numFmtId="168" fontId="24" fillId="0" borderId="0"/>
    <xf numFmtId="164" fontId="3" fillId="0" borderId="0" applyFont="0" applyFill="0" applyBorder="0" applyAlignment="0" applyProtection="0"/>
  </cellStyleXfs>
  <cellXfs count="119">
    <xf numFmtId="0" fontId="0" fillId="0" borderId="0" xfId="0"/>
    <xf numFmtId="0" fontId="3" fillId="0" borderId="0" xfId="0" applyFont="1"/>
    <xf numFmtId="9" fontId="5" fillId="0" borderId="0" xfId="1" applyFont="1"/>
    <xf numFmtId="0" fontId="7" fillId="0" borderId="0" xfId="3" applyFont="1"/>
    <xf numFmtId="0" fontId="3" fillId="0" borderId="0" xfId="3" applyFont="1"/>
    <xf numFmtId="0" fontId="3" fillId="0" borderId="0" xfId="3" applyFont="1" applyAlignment="1">
      <alignment wrapText="1"/>
    </xf>
    <xf numFmtId="0" fontId="13" fillId="0" borderId="0" xfId="3" applyFont="1"/>
    <xf numFmtId="0" fontId="14" fillId="0" borderId="0" xfId="3" applyFont="1" applyAlignment="1">
      <alignment vertical="top"/>
    </xf>
    <xf numFmtId="0" fontId="14" fillId="0" borderId="0" xfId="3" applyFont="1" applyAlignment="1">
      <alignment vertical="top" wrapText="1"/>
    </xf>
    <xf numFmtId="0" fontId="14" fillId="0" borderId="0" xfId="3" applyFont="1"/>
    <xf numFmtId="0" fontId="14" fillId="0" borderId="0" xfId="3" applyFont="1" applyAlignment="1">
      <alignment wrapText="1"/>
    </xf>
    <xf numFmtId="0" fontId="14" fillId="0" borderId="7" xfId="0" applyFont="1" applyFill="1" applyBorder="1"/>
    <xf numFmtId="0" fontId="14" fillId="3" borderId="8" xfId="0" applyFont="1" applyFill="1" applyBorder="1" applyProtection="1">
      <protection locked="0"/>
    </xf>
    <xf numFmtId="0" fontId="14" fillId="0" borderId="4" xfId="0" applyFont="1" applyFill="1" applyBorder="1"/>
    <xf numFmtId="0" fontId="14" fillId="3" borderId="9" xfId="0" applyFont="1" applyFill="1" applyBorder="1" applyProtection="1">
      <protection locked="0"/>
    </xf>
    <xf numFmtId="175" fontId="14" fillId="3" borderId="9" xfId="0" applyNumberFormat="1" applyFont="1" applyFill="1" applyBorder="1" applyAlignment="1" applyProtection="1">
      <alignment horizontal="left"/>
      <protection locked="0"/>
    </xf>
    <xf numFmtId="175" fontId="14" fillId="3" borderId="11" xfId="0" applyNumberFormat="1" applyFont="1" applyFill="1" applyBorder="1" applyAlignment="1" applyProtection="1">
      <alignment horizontal="left"/>
      <protection locked="0"/>
    </xf>
    <xf numFmtId="0" fontId="14" fillId="0" borderId="4" xfId="3" applyFont="1" applyBorder="1"/>
    <xf numFmtId="0" fontId="14" fillId="0" borderId="10" xfId="3" applyFont="1" applyBorder="1"/>
    <xf numFmtId="173" fontId="13" fillId="0" borderId="0" xfId="7" applyFont="1"/>
    <xf numFmtId="173" fontId="14" fillId="0" borderId="0" xfId="7" applyFont="1"/>
    <xf numFmtId="173" fontId="8" fillId="0" borderId="0" xfId="7" applyFont="1" applyAlignment="1">
      <alignment horizontal="center"/>
    </xf>
    <xf numFmtId="173" fontId="13" fillId="0" borderId="0" xfId="7" applyFont="1" applyAlignment="1">
      <alignment horizontal="center"/>
    </xf>
    <xf numFmtId="173" fontId="13" fillId="4" borderId="2" xfId="7" applyFont="1" applyFill="1" applyBorder="1" applyAlignment="1" applyProtection="1">
      <alignment horizontal="center"/>
      <protection hidden="1"/>
    </xf>
    <xf numFmtId="173" fontId="13" fillId="4" borderId="2" xfId="7" applyFont="1" applyFill="1" applyBorder="1" applyAlignment="1" applyProtection="1">
      <alignment horizontal="center" wrapText="1"/>
      <protection hidden="1"/>
    </xf>
    <xf numFmtId="1" fontId="3" fillId="4" borderId="0" xfId="7" applyNumberFormat="1" applyFont="1" applyFill="1" applyBorder="1" applyAlignment="1" applyProtection="1">
      <alignment horizontal="center"/>
      <protection hidden="1"/>
    </xf>
    <xf numFmtId="168" fontId="3" fillId="4" borderId="0" xfId="7" applyNumberFormat="1" applyFont="1" applyFill="1" applyBorder="1" applyProtection="1">
      <protection hidden="1"/>
    </xf>
    <xf numFmtId="168" fontId="3" fillId="4" borderId="12" xfId="7" applyNumberFormat="1" applyFont="1" applyFill="1" applyBorder="1" applyProtection="1">
      <protection hidden="1"/>
    </xf>
    <xf numFmtId="176" fontId="3" fillId="3" borderId="0" xfId="7" applyNumberFormat="1" applyFont="1" applyFill="1" applyAlignment="1" applyProtection="1">
      <alignment horizontal="right"/>
      <protection locked="0"/>
    </xf>
    <xf numFmtId="1" fontId="3" fillId="4" borderId="1" xfId="7" applyNumberFormat="1" applyFont="1" applyFill="1" applyBorder="1" applyAlignment="1" applyProtection="1">
      <alignment horizontal="center"/>
      <protection hidden="1"/>
    </xf>
    <xf numFmtId="168" fontId="3" fillId="4" borderId="1" xfId="7" applyNumberFormat="1" applyFont="1" applyFill="1" applyBorder="1" applyProtection="1">
      <protection hidden="1"/>
    </xf>
    <xf numFmtId="176" fontId="3" fillId="3" borderId="1" xfId="7" applyNumberFormat="1" applyFont="1" applyFill="1" applyBorder="1" applyAlignment="1" applyProtection="1">
      <alignment horizontal="right"/>
      <protection locked="0"/>
    </xf>
    <xf numFmtId="173" fontId="13" fillId="0" borderId="0" xfId="7" applyFont="1" applyAlignment="1" applyProtection="1">
      <alignment horizontal="left"/>
    </xf>
    <xf numFmtId="165" fontId="14" fillId="0" borderId="0" xfId="7" applyNumberFormat="1" applyFont="1"/>
    <xf numFmtId="173" fontId="3" fillId="0" borderId="0" xfId="7" applyFont="1"/>
    <xf numFmtId="173" fontId="19" fillId="4" borderId="12" xfId="7" applyFont="1" applyFill="1" applyBorder="1"/>
    <xf numFmtId="173" fontId="19" fillId="4" borderId="12" xfId="7" applyFont="1" applyFill="1" applyBorder="1" applyAlignment="1">
      <alignment horizontal="center"/>
    </xf>
    <xf numFmtId="173" fontId="19" fillId="4" borderId="0" xfId="7" applyFont="1" applyFill="1" applyBorder="1" applyAlignment="1" applyProtection="1">
      <alignment horizontal="center"/>
    </xf>
    <xf numFmtId="173" fontId="19" fillId="4" borderId="0" xfId="7" applyFont="1" applyFill="1" applyBorder="1" applyAlignment="1">
      <alignment horizontal="center"/>
    </xf>
    <xf numFmtId="173" fontId="14" fillId="4" borderId="1" xfId="7" applyFont="1" applyFill="1" applyBorder="1"/>
    <xf numFmtId="168" fontId="19" fillId="4" borderId="0" xfId="7" applyNumberFormat="1" applyFont="1" applyFill="1" applyBorder="1" applyAlignment="1" applyProtection="1">
      <alignment horizontal="center"/>
    </xf>
    <xf numFmtId="168" fontId="3" fillId="4" borderId="12" xfId="7" applyNumberFormat="1" applyFont="1" applyFill="1" applyBorder="1" applyProtection="1"/>
    <xf numFmtId="168" fontId="3" fillId="4" borderId="0" xfId="7" applyNumberFormat="1" applyFont="1" applyFill="1" applyBorder="1" applyProtection="1"/>
    <xf numFmtId="168" fontId="3" fillId="4" borderId="1" xfId="7" applyNumberFormat="1" applyFont="1" applyFill="1" applyBorder="1" applyProtection="1"/>
    <xf numFmtId="0" fontId="3" fillId="0" borderId="0" xfId="3"/>
    <xf numFmtId="165" fontId="3" fillId="0" borderId="0" xfId="0" applyNumberFormat="1" applyFont="1"/>
    <xf numFmtId="37" fontId="3" fillId="0" borderId="0" xfId="0" applyNumberFormat="1" applyFont="1" applyProtection="1">
      <protection locked="0"/>
    </xf>
    <xf numFmtId="2" fontId="3" fillId="0" borderId="0" xfId="0" applyNumberFormat="1" applyFont="1"/>
    <xf numFmtId="14" fontId="3" fillId="0" borderId="0" xfId="0" applyNumberFormat="1" applyFont="1"/>
    <xf numFmtId="174" fontId="3" fillId="0" borderId="0" xfId="4" applyNumberFormat="1" applyFont="1"/>
    <xf numFmtId="0" fontId="25" fillId="0" borderId="0" xfId="0" applyFont="1"/>
    <xf numFmtId="0" fontId="26" fillId="0" borderId="0" xfId="0" applyFont="1"/>
    <xf numFmtId="1" fontId="3" fillId="0" borderId="0" xfId="0" applyNumberFormat="1" applyFont="1"/>
    <xf numFmtId="17" fontId="3" fillId="0" borderId="0" xfId="0" applyNumberFormat="1" applyFont="1"/>
    <xf numFmtId="1" fontId="27" fillId="0" borderId="2" xfId="0" applyNumberFormat="1" applyFont="1" applyBorder="1" applyAlignment="1" applyProtection="1">
      <alignment horizontal="center"/>
    </xf>
    <xf numFmtId="1" fontId="28" fillId="0" borderId="2" xfId="0" applyNumberFormat="1" applyFont="1" applyBorder="1" applyAlignment="1" applyProtection="1">
      <alignment horizontal="center"/>
    </xf>
    <xf numFmtId="0" fontId="3" fillId="0" borderId="0" xfId="0" applyFont="1" applyAlignment="1">
      <alignment horizontal="center"/>
    </xf>
    <xf numFmtId="0" fontId="5" fillId="0" borderId="0" xfId="0" applyFont="1"/>
    <xf numFmtId="3" fontId="3" fillId="0" borderId="0" xfId="0" applyNumberFormat="1" applyFont="1"/>
    <xf numFmtId="172" fontId="3" fillId="0" borderId="0" xfId="4" applyNumberFormat="1" applyFont="1"/>
    <xf numFmtId="0" fontId="5" fillId="0" borderId="0" xfId="0" applyFont="1" applyAlignment="1">
      <alignment horizontal="center"/>
    </xf>
    <xf numFmtId="171" fontId="3" fillId="0" borderId="0" xfId="1" applyNumberFormat="1" applyFont="1"/>
    <xf numFmtId="0" fontId="30" fillId="0" borderId="0" xfId="0" applyFont="1"/>
    <xf numFmtId="177" fontId="3" fillId="0" borderId="0" xfId="0" applyNumberFormat="1" applyFont="1"/>
    <xf numFmtId="0" fontId="27" fillId="0" borderId="2" xfId="0" applyFont="1" applyBorder="1"/>
    <xf numFmtId="0" fontId="3" fillId="5" borderId="0" xfId="0" applyFont="1" applyFill="1"/>
    <xf numFmtId="1" fontId="3" fillId="5" borderId="0" xfId="0" applyNumberFormat="1" applyFont="1" applyFill="1"/>
    <xf numFmtId="3" fontId="3" fillId="5" borderId="0" xfId="0" applyNumberFormat="1" applyFont="1" applyFill="1"/>
    <xf numFmtId="0" fontId="5" fillId="0" borderId="0" xfId="0" applyFont="1" applyAlignment="1">
      <alignment horizontal="right"/>
    </xf>
    <xf numFmtId="9" fontId="5" fillId="6" borderId="0" xfId="1" applyFont="1" applyFill="1"/>
    <xf numFmtId="0" fontId="27" fillId="0" borderId="2" xfId="0" quotePrefix="1" applyFont="1" applyBorder="1" applyAlignment="1">
      <alignment wrapText="1"/>
    </xf>
    <xf numFmtId="0" fontId="27" fillId="0" borderId="2" xfId="0" applyFont="1" applyBorder="1" applyAlignment="1">
      <alignment wrapText="1"/>
    </xf>
    <xf numFmtId="0" fontId="3" fillId="0" borderId="0" xfId="3" applyFont="1" applyBorder="1"/>
    <xf numFmtId="0" fontId="25" fillId="0" borderId="0" xfId="3" applyFont="1"/>
    <xf numFmtId="0" fontId="26" fillId="0" borderId="0" xfId="3" applyFont="1"/>
    <xf numFmtId="0" fontId="3" fillId="5" borderId="0" xfId="3" applyFont="1" applyFill="1"/>
    <xf numFmtId="166" fontId="3" fillId="0" borderId="0" xfId="3" applyNumberFormat="1" applyFont="1" applyAlignment="1" applyProtection="1">
      <alignment horizontal="left"/>
    </xf>
    <xf numFmtId="168" fontId="3" fillId="0" borderId="0" xfId="3" applyNumberFormat="1" applyFont="1" applyProtection="1"/>
    <xf numFmtId="168" fontId="26" fillId="0" borderId="0" xfId="3" applyNumberFormat="1" applyFont="1"/>
    <xf numFmtId="1" fontId="27" fillId="0" borderId="2" xfId="3" applyNumberFormat="1" applyFont="1" applyBorder="1" applyAlignment="1" applyProtection="1">
      <alignment horizontal="center"/>
    </xf>
    <xf numFmtId="1" fontId="28" fillId="0" borderId="2" xfId="3" applyNumberFormat="1" applyFont="1" applyBorder="1" applyAlignment="1" applyProtection="1">
      <alignment horizontal="center" wrapText="1"/>
    </xf>
    <xf numFmtId="0" fontId="5" fillId="0" borderId="2" xfId="3" applyFont="1" applyBorder="1" applyAlignment="1">
      <alignment horizontal="center" wrapText="1"/>
    </xf>
    <xf numFmtId="0" fontId="27" fillId="0" borderId="2" xfId="3" applyFont="1" applyBorder="1" applyAlignment="1">
      <alignment horizontal="center"/>
    </xf>
    <xf numFmtId="0" fontId="5" fillId="0" borderId="2" xfId="3" applyFont="1" applyBorder="1" applyAlignment="1">
      <alignment horizontal="center"/>
    </xf>
    <xf numFmtId="166" fontId="5" fillId="0" borderId="2" xfId="3" applyNumberFormat="1" applyFont="1" applyBorder="1" applyAlignment="1" applyProtection="1">
      <alignment horizontal="center"/>
    </xf>
    <xf numFmtId="166" fontId="5" fillId="0" borderId="2" xfId="3" applyNumberFormat="1" applyFont="1" applyBorder="1" applyAlignment="1" applyProtection="1">
      <alignment horizontal="center" wrapText="1"/>
    </xf>
    <xf numFmtId="0" fontId="5" fillId="0" borderId="2" xfId="3" applyFont="1" applyBorder="1" applyAlignment="1" applyProtection="1">
      <alignment horizontal="center"/>
    </xf>
    <xf numFmtId="170" fontId="5" fillId="0" borderId="2" xfId="3" applyNumberFormat="1" applyFont="1" applyBorder="1" applyAlignment="1" applyProtection="1">
      <alignment horizontal="center"/>
    </xf>
    <xf numFmtId="167" fontId="5" fillId="0" borderId="2" xfId="3" applyNumberFormat="1" applyFont="1" applyBorder="1" applyAlignment="1" applyProtection="1">
      <alignment horizontal="center"/>
    </xf>
    <xf numFmtId="167" fontId="5" fillId="0" borderId="2" xfId="3" applyNumberFormat="1" applyFont="1" applyBorder="1" applyAlignment="1" applyProtection="1">
      <alignment horizontal="center" wrapText="1"/>
    </xf>
    <xf numFmtId="0" fontId="3" fillId="0" borderId="0" xfId="3" applyFont="1" applyAlignment="1">
      <alignment horizontal="center"/>
    </xf>
    <xf numFmtId="0" fontId="5" fillId="0" borderId="0" xfId="3" applyFont="1"/>
    <xf numFmtId="172" fontId="3" fillId="0" borderId="0" xfId="14" applyNumberFormat="1" applyFont="1"/>
    <xf numFmtId="177" fontId="3" fillId="6" borderId="0" xfId="3" applyNumberFormat="1" applyFont="1" applyFill="1"/>
    <xf numFmtId="177" fontId="3" fillId="0" borderId="0" xfId="3" applyNumberFormat="1" applyFont="1"/>
    <xf numFmtId="166" fontId="3" fillId="0" borderId="0" xfId="3" applyNumberFormat="1" applyFont="1" applyProtection="1"/>
    <xf numFmtId="170" fontId="3" fillId="6" borderId="0" xfId="3" applyNumberFormat="1" applyFont="1" applyFill="1" applyProtection="1"/>
    <xf numFmtId="176" fontId="3" fillId="0" borderId="0" xfId="3" applyNumberFormat="1" applyFont="1" applyProtection="1"/>
    <xf numFmtId="178" fontId="3" fillId="6" borderId="0" xfId="3" applyNumberFormat="1" applyFont="1" applyFill="1" applyProtection="1"/>
    <xf numFmtId="168" fontId="3" fillId="6" borderId="0" xfId="3" applyNumberFormat="1" applyFont="1" applyFill="1" applyProtection="1"/>
    <xf numFmtId="0" fontId="31" fillId="0" borderId="0" xfId="3" applyFont="1" applyAlignment="1">
      <alignment horizontal="center"/>
    </xf>
    <xf numFmtId="0" fontId="1" fillId="0" borderId="0" xfId="3" applyFont="1" applyBorder="1"/>
    <xf numFmtId="0" fontId="1" fillId="0" borderId="0" xfId="3" applyFont="1"/>
    <xf numFmtId="0" fontId="2" fillId="0" borderId="0" xfId="3" applyFont="1"/>
    <xf numFmtId="179" fontId="5" fillId="0" borderId="0" xfId="4" applyNumberFormat="1" applyFont="1"/>
    <xf numFmtId="169" fontId="3" fillId="0" borderId="0" xfId="3" applyNumberFormat="1" applyFont="1"/>
    <xf numFmtId="9" fontId="3" fillId="0" borderId="0" xfId="1" applyFont="1"/>
    <xf numFmtId="0" fontId="14" fillId="0" borderId="0" xfId="0" applyFont="1" applyAlignment="1">
      <alignment wrapText="1"/>
    </xf>
    <xf numFmtId="0" fontId="14" fillId="0" borderId="0" xfId="3" applyFont="1" applyAlignment="1"/>
    <xf numFmtId="0" fontId="14" fillId="0" borderId="0" xfId="3" applyFont="1" applyAlignment="1">
      <alignment horizontal="left" wrapText="1"/>
    </xf>
    <xf numFmtId="0" fontId="14" fillId="0" borderId="0" xfId="0" applyFont="1" applyFill="1" applyBorder="1" applyProtection="1">
      <protection locked="0"/>
    </xf>
    <xf numFmtId="0" fontId="15" fillId="0" borderId="0" xfId="5" applyFont="1" applyAlignment="1" applyProtection="1">
      <alignment horizontal="left"/>
    </xf>
    <xf numFmtId="0" fontId="13" fillId="2" borderId="3" xfId="6" applyFont="1" applyFill="1" applyBorder="1" applyAlignment="1">
      <alignment horizontal="center"/>
    </xf>
    <xf numFmtId="0" fontId="3" fillId="0" borderId="0" xfId="3"/>
    <xf numFmtId="0" fontId="14" fillId="0" borderId="0" xfId="6" applyFont="1" applyFill="1" applyAlignment="1">
      <alignment horizontal="left"/>
    </xf>
    <xf numFmtId="0" fontId="15" fillId="0" borderId="0" xfId="5" applyFont="1" applyFill="1" applyBorder="1" applyAlignment="1" applyProtection="1">
      <alignment horizontal="center"/>
      <protection locked="0"/>
    </xf>
    <xf numFmtId="0" fontId="7" fillId="0" borderId="0" xfId="3" applyFont="1" applyAlignment="1">
      <alignment horizontal="left" vertical="top" wrapText="1"/>
    </xf>
    <xf numFmtId="0" fontId="13" fillId="0" borderId="5" xfId="0" applyFont="1" applyBorder="1" applyAlignment="1">
      <alignment horizontal="center"/>
    </xf>
    <xf numFmtId="0" fontId="13" fillId="0" borderId="6" xfId="0" applyFont="1" applyBorder="1" applyAlignment="1">
      <alignment horizontal="center"/>
    </xf>
  </cellXfs>
  <cellStyles count="15">
    <cellStyle name="Comma" xfId="4" builtinId="3"/>
    <cellStyle name="Comma 2" xfId="14"/>
    <cellStyle name="Comma 3" xfId="8"/>
    <cellStyle name="Hyperlink" xfId="5" builtinId="8"/>
    <cellStyle name="Normal" xfId="0" builtinId="0"/>
    <cellStyle name="Normal 2" xfId="3"/>
    <cellStyle name="Normal 2 2" xfId="2"/>
    <cellStyle name="Normal 2 3" xfId="9"/>
    <cellStyle name="Normal 2 4" xfId="10"/>
    <cellStyle name="Normal 3" xfId="7"/>
    <cellStyle name="Normal 3 2" xfId="11"/>
    <cellStyle name="Normal 3 2 2" xfId="6"/>
    <cellStyle name="Normal 3 3" xfId="12"/>
    <cellStyle name="Normal 4" xfId="13"/>
    <cellStyle name="Percent" xfId="1" builtinId="5"/>
  </cellStyles>
  <dxfs count="0"/>
  <tableStyles count="0" defaultTableStyle="TableStyleMedium9" defaultPivotStyle="PivotStyleLight16"/>
  <colors>
    <mruColors>
      <color rgb="FFFFE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906345948233212"/>
          <c:y val="8.7542375389230015E-2"/>
          <c:w val="0.74238960771645368"/>
          <c:h val="0.64309975766703475"/>
        </c:manualLayout>
      </c:layout>
      <c:scatterChart>
        <c:scatterStyle val="lineMarker"/>
        <c:varyColors val="0"/>
        <c:ser>
          <c:idx val="0"/>
          <c:order val="0"/>
          <c:tx>
            <c:v>Obs</c:v>
          </c:tx>
          <c:spPr>
            <a:ln w="28575">
              <a:noFill/>
            </a:ln>
          </c:spPr>
          <c:marker>
            <c:symbol val="diamond"/>
            <c:size val="5"/>
            <c:spPr>
              <a:solidFill>
                <a:srgbClr val="000080"/>
              </a:solidFill>
              <a:ln>
                <a:solidFill>
                  <a:srgbClr val="000080"/>
                </a:solidFill>
                <a:prstDash val="solid"/>
              </a:ln>
            </c:spPr>
          </c:marker>
          <c:xVal>
            <c:numRef>
              <c:f>Method!$O$8:$O$24</c:f>
              <c:numCache>
                <c:formatCode>0.00000</c:formatCode>
                <c:ptCount val="17"/>
                <c:pt idx="0">
                  <c:v>0</c:v>
                </c:pt>
                <c:pt idx="1">
                  <c:v>1.2791978856732972E-2</c:v>
                </c:pt>
                <c:pt idx="2">
                  <c:v>1.4445843907337837E-2</c:v>
                </c:pt>
                <c:pt idx="3">
                  <c:v>1.6700073307140042E-2</c:v>
                </c:pt>
                <c:pt idx="4">
                  <c:v>1.9659507723496818E-2</c:v>
                </c:pt>
                <c:pt idx="5">
                  <c:v>2.2914726732663045E-2</c:v>
                </c:pt>
                <c:pt idx="6">
                  <c:v>2.6016956922160283E-2</c:v>
                </c:pt>
                <c:pt idx="7">
                  <c:v>2.8714748793247806E-2</c:v>
                </c:pt>
                <c:pt idx="8">
                  <c:v>3.1782093128643711E-2</c:v>
                </c:pt>
                <c:pt idx="9">
                  <c:v>3.569431967738166E-2</c:v>
                </c:pt>
                <c:pt idx="10">
                  <c:v>4.079877823269519E-2</c:v>
                </c:pt>
                <c:pt idx="11">
                  <c:v>4.7366131475054585E-2</c:v>
                </c:pt>
                <c:pt idx="12">
                  <c:v>5.5949567034410008E-2</c:v>
                </c:pt>
                <c:pt idx="13">
                  <c:v>6.6592601988356925E-2</c:v>
                </c:pt>
                <c:pt idx="14">
                  <c:v>8.0933903511669514E-2</c:v>
                </c:pt>
                <c:pt idx="15">
                  <c:v>9.9770543956229224E-2</c:v>
                </c:pt>
                <c:pt idx="16">
                  <c:v>0.11988576956931753</c:v>
                </c:pt>
              </c:numCache>
            </c:numRef>
          </c:xVal>
          <c:yVal>
            <c:numRef>
              <c:f>Method!$P$8:$P$24</c:f>
              <c:numCache>
                <c:formatCode>0.00000</c:formatCode>
                <c:ptCount val="17"/>
                <c:pt idx="1">
                  <c:v>9.7189236334262498E-3</c:v>
                </c:pt>
                <c:pt idx="2">
                  <c:v>1.3119539228598152E-2</c:v>
                </c:pt>
                <c:pt idx="3">
                  <c:v>1.5697417965391036E-2</c:v>
                </c:pt>
                <c:pt idx="4">
                  <c:v>1.8027670267322497E-2</c:v>
                </c:pt>
                <c:pt idx="5">
                  <c:v>1.9799858957548065E-2</c:v>
                </c:pt>
                <c:pt idx="6">
                  <c:v>2.3078233551716777E-2</c:v>
                </c:pt>
                <c:pt idx="7">
                  <c:v>2.7117347289798907E-2</c:v>
                </c:pt>
                <c:pt idx="8">
                  <c:v>3.0816743841320039E-2</c:v>
                </c:pt>
                <c:pt idx="9">
                  <c:v>3.3515536064685797E-2</c:v>
                </c:pt>
                <c:pt idx="10">
                  <c:v>3.7256648645626611E-2</c:v>
                </c:pt>
                <c:pt idx="11">
                  <c:v>4.4078554033339712E-2</c:v>
                </c:pt>
                <c:pt idx="12">
                  <c:v>5.3336920204571155E-2</c:v>
                </c:pt>
                <c:pt idx="13">
                  <c:v>6.7320489468120664E-2</c:v>
                </c:pt>
                <c:pt idx="14">
                  <c:v>8.5590466888097266E-2</c:v>
                </c:pt>
                <c:pt idx="15">
                  <c:v>0.10552848998881555</c:v>
                </c:pt>
                <c:pt idx="16">
                  <c:v>0.12653816829767017</c:v>
                </c:pt>
              </c:numCache>
            </c:numRef>
          </c:yVal>
          <c:smooth val="0"/>
          <c:extLst xmlns:c16r2="http://schemas.microsoft.com/office/drawing/2015/06/chart">
            <c:ext xmlns:c16="http://schemas.microsoft.com/office/drawing/2014/chart" uri="{C3380CC4-5D6E-409C-BE32-E72D297353CC}">
              <c16:uniqueId val="{00000000-A866-4269-A91D-EE910E93339E}"/>
            </c:ext>
          </c:extLst>
        </c:ser>
        <c:ser>
          <c:idx val="1"/>
          <c:order val="1"/>
          <c:tx>
            <c:v>Fitted</c:v>
          </c:tx>
          <c:spPr>
            <a:ln w="12700">
              <a:solidFill>
                <a:srgbClr val="FF00FF"/>
              </a:solidFill>
              <a:prstDash val="solid"/>
            </a:ln>
          </c:spPr>
          <c:marker>
            <c:symbol val="none"/>
          </c:marker>
          <c:xVal>
            <c:numRef>
              <c:f>Method!$O$8:$O$24</c:f>
              <c:numCache>
                <c:formatCode>0.00000</c:formatCode>
                <c:ptCount val="17"/>
                <c:pt idx="0">
                  <c:v>0</c:v>
                </c:pt>
                <c:pt idx="1">
                  <c:v>1.2791978856732972E-2</c:v>
                </c:pt>
                <c:pt idx="2">
                  <c:v>1.4445843907337837E-2</c:v>
                </c:pt>
                <c:pt idx="3">
                  <c:v>1.6700073307140042E-2</c:v>
                </c:pt>
                <c:pt idx="4">
                  <c:v>1.9659507723496818E-2</c:v>
                </c:pt>
                <c:pt idx="5">
                  <c:v>2.2914726732663045E-2</c:v>
                </c:pt>
                <c:pt idx="6">
                  <c:v>2.6016956922160283E-2</c:v>
                </c:pt>
                <c:pt idx="7">
                  <c:v>2.8714748793247806E-2</c:v>
                </c:pt>
                <c:pt idx="8">
                  <c:v>3.1782093128643711E-2</c:v>
                </c:pt>
                <c:pt idx="9">
                  <c:v>3.569431967738166E-2</c:v>
                </c:pt>
                <c:pt idx="10">
                  <c:v>4.079877823269519E-2</c:v>
                </c:pt>
                <c:pt idx="11">
                  <c:v>4.7366131475054585E-2</c:v>
                </c:pt>
                <c:pt idx="12">
                  <c:v>5.5949567034410008E-2</c:v>
                </c:pt>
                <c:pt idx="13">
                  <c:v>6.6592601988356925E-2</c:v>
                </c:pt>
                <c:pt idx="14">
                  <c:v>8.0933903511669514E-2</c:v>
                </c:pt>
                <c:pt idx="15">
                  <c:v>9.9770543956229224E-2</c:v>
                </c:pt>
                <c:pt idx="16">
                  <c:v>0.11988576956931753</c:v>
                </c:pt>
              </c:numCache>
            </c:numRef>
          </c:xVal>
          <c:yVal>
            <c:numRef>
              <c:f>Method!$Q$8:$Q$24</c:f>
              <c:numCache>
                <c:formatCode>0.0000</c:formatCode>
                <c:ptCount val="17"/>
                <c:pt idx="0">
                  <c:v>-4.6749868107614431E-3</c:v>
                </c:pt>
                <c:pt idx="1">
                  <c:v>9.2775383001767429E-3</c:v>
                </c:pt>
                <c:pt idx="2">
                  <c:v>1.1081449478197627E-2</c:v>
                </c:pt>
                <c:pt idx="3">
                  <c:v>1.3540192778105503E-2</c:v>
                </c:pt>
                <c:pt idx="4">
                  <c:v>1.676812048740273E-2</c:v>
                </c:pt>
                <c:pt idx="5">
                  <c:v>2.0318667707318543E-2</c:v>
                </c:pt>
                <c:pt idx="6">
                  <c:v>2.3702346268989125E-2</c:v>
                </c:pt>
                <c:pt idx="7">
                  <c:v>2.6644894036383336E-2</c:v>
                </c:pt>
                <c:pt idx="8">
                  <c:v>2.9990521741277434E-2</c:v>
                </c:pt>
                <c:pt idx="9">
                  <c:v>3.4257683200211102E-2</c:v>
                </c:pt>
                <c:pt idx="10">
                  <c:v>3.9825241352737996E-2</c:v>
                </c:pt>
                <c:pt idx="11">
                  <c:v>4.6988414623477991E-2</c:v>
                </c:pt>
                <c:pt idx="12">
                  <c:v>5.6350578329446836E-2</c:v>
                </c:pt>
                <c:pt idx="13">
                  <c:v>6.795919761459962E-2</c:v>
                </c:pt>
                <c:pt idx="14">
                  <c:v>8.3601606961003078E-2</c:v>
                </c:pt>
                <c:pt idx="15">
                  <c:v>0.10414719273408307</c:v>
                </c:pt>
                <c:pt idx="16">
                  <c:v>0.12608736271263796</c:v>
                </c:pt>
              </c:numCache>
            </c:numRef>
          </c:yVal>
          <c:smooth val="0"/>
          <c:extLst xmlns:c16r2="http://schemas.microsoft.com/office/drawing/2015/06/chart">
            <c:ext xmlns:c16="http://schemas.microsoft.com/office/drawing/2014/chart" uri="{C3380CC4-5D6E-409C-BE32-E72D297353CC}">
              <c16:uniqueId val="{00000001-A866-4269-A91D-EE910E93339E}"/>
            </c:ext>
          </c:extLst>
        </c:ser>
        <c:dLbls>
          <c:showLegendKey val="0"/>
          <c:showVal val="0"/>
          <c:showCatName val="0"/>
          <c:showSerName val="0"/>
          <c:showPercent val="0"/>
          <c:showBubbleSize val="0"/>
        </c:dLbls>
        <c:axId val="238895104"/>
        <c:axId val="238897024"/>
      </c:scatterChart>
      <c:valAx>
        <c:axId val="238895104"/>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en-ZA"/>
                  <a:t>d(x+)</a:t>
                </a:r>
              </a:p>
            </c:rich>
          </c:tx>
          <c:layout>
            <c:manualLayout>
              <c:xMode val="edge"/>
              <c:yMode val="edge"/>
              <c:x val="0.53161641680035898"/>
              <c:y val="0.78451425894994997"/>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5400000" vert="horz"/>
          <a:lstStyle/>
          <a:p>
            <a:pPr>
              <a:defRPr sz="875" b="0" i="0" u="none" strike="noStrike" baseline="0">
                <a:solidFill>
                  <a:srgbClr val="000000"/>
                </a:solidFill>
                <a:latin typeface="Arial"/>
                <a:ea typeface="Arial"/>
                <a:cs typeface="Arial"/>
              </a:defRPr>
            </a:pPr>
            <a:endParaRPr lang="en-US"/>
          </a:p>
        </c:txPr>
        <c:crossAx val="238897024"/>
        <c:crosses val="autoZero"/>
        <c:crossBetween val="midCat"/>
      </c:valAx>
      <c:valAx>
        <c:axId val="238897024"/>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en-ZA"/>
                  <a:t>n(x+)-r(x+)+i(x+)</a:t>
                </a:r>
              </a:p>
            </c:rich>
          </c:tx>
          <c:layout>
            <c:manualLayout>
              <c:xMode val="edge"/>
              <c:yMode val="edge"/>
              <c:x val="3.7470725995316242E-2"/>
              <c:y val="0.29966436013680414"/>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238895104"/>
        <c:crosses val="autoZero"/>
        <c:crossBetween val="midCat"/>
      </c:valAx>
      <c:spPr>
        <a:noFill/>
        <a:ln w="12700">
          <a:solidFill>
            <a:srgbClr val="808080"/>
          </a:solidFill>
          <a:prstDash val="solid"/>
        </a:ln>
      </c:spPr>
    </c:plotArea>
    <c:legend>
      <c:legendPos val="b"/>
      <c:layout>
        <c:manualLayout>
          <c:xMode val="edge"/>
          <c:yMode val="edge"/>
          <c:x val="0.41686231843970556"/>
          <c:y val="0.89899272691923549"/>
          <c:w val="0.30444989458285288"/>
          <c:h val="7.7441430932245175E-2"/>
        </c:manualLayout>
      </c:layout>
      <c:overlay val="0"/>
      <c:spPr>
        <a:solidFill>
          <a:srgbClr val="FFFFFF"/>
        </a:solidFill>
        <a:ln w="3175">
          <a:solidFill>
            <a:srgbClr val="000000"/>
          </a:solidFill>
          <a:prstDash val="solid"/>
        </a:ln>
      </c:spPr>
      <c:txPr>
        <a:bodyPr/>
        <a:lstStyle/>
        <a:p>
          <a:pPr>
            <a:defRPr sz="68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000000000000422" r="0.750000000000004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023304645058585"/>
          <c:y val="3.6666666666666681E-2"/>
        </c:manualLayout>
      </c:layout>
      <c:overlay val="0"/>
      <c:spPr>
        <a:noFill/>
        <a:ln w="25400">
          <a:noFill/>
        </a:ln>
      </c:spPr>
      <c:txPr>
        <a:bodyPr/>
        <a:lstStyle/>
        <a:p>
          <a:pPr>
            <a:defRPr sz="875" b="0"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4418621024051817"/>
          <c:y val="0.20000065104378587"/>
          <c:w val="0.79767532439513122"/>
          <c:h val="0.71666899957357133"/>
        </c:manualLayout>
      </c:layout>
      <c:scatterChart>
        <c:scatterStyle val="lineMarker"/>
        <c:varyColors val="0"/>
        <c:ser>
          <c:idx val="0"/>
          <c:order val="0"/>
          <c:tx>
            <c:v>Residuals</c:v>
          </c:tx>
          <c:spPr>
            <a:ln w="12700">
              <a:solidFill>
                <a:srgbClr val="000080"/>
              </a:solidFill>
              <a:prstDash val="solid"/>
            </a:ln>
          </c:spPr>
          <c:marker>
            <c:symbol val="diamond"/>
            <c:size val="5"/>
            <c:spPr>
              <a:solidFill>
                <a:srgbClr val="000080"/>
              </a:solidFill>
              <a:ln>
                <a:solidFill>
                  <a:srgbClr val="000080"/>
                </a:solidFill>
                <a:prstDash val="solid"/>
              </a:ln>
            </c:spPr>
          </c:marker>
          <c:xVal>
            <c:numRef>
              <c:f>Method!$O$9:$O$24</c:f>
              <c:numCache>
                <c:formatCode>0.00000</c:formatCode>
                <c:ptCount val="16"/>
                <c:pt idx="0">
                  <c:v>1.2791978856732972E-2</c:v>
                </c:pt>
                <c:pt idx="1">
                  <c:v>1.4445843907337837E-2</c:v>
                </c:pt>
                <c:pt idx="2">
                  <c:v>1.6700073307140042E-2</c:v>
                </c:pt>
                <c:pt idx="3">
                  <c:v>1.9659507723496818E-2</c:v>
                </c:pt>
                <c:pt idx="4">
                  <c:v>2.2914726732663045E-2</c:v>
                </c:pt>
                <c:pt idx="5">
                  <c:v>2.6016956922160283E-2</c:v>
                </c:pt>
                <c:pt idx="6">
                  <c:v>2.8714748793247806E-2</c:v>
                </c:pt>
                <c:pt idx="7">
                  <c:v>3.1782093128643711E-2</c:v>
                </c:pt>
                <c:pt idx="8">
                  <c:v>3.569431967738166E-2</c:v>
                </c:pt>
                <c:pt idx="9">
                  <c:v>4.079877823269519E-2</c:v>
                </c:pt>
                <c:pt idx="10">
                  <c:v>4.7366131475054585E-2</c:v>
                </c:pt>
                <c:pt idx="11">
                  <c:v>5.5949567034410008E-2</c:v>
                </c:pt>
                <c:pt idx="12">
                  <c:v>6.6592601988356925E-2</c:v>
                </c:pt>
                <c:pt idx="13">
                  <c:v>8.0933903511669514E-2</c:v>
                </c:pt>
                <c:pt idx="14">
                  <c:v>9.9770543956229224E-2</c:v>
                </c:pt>
                <c:pt idx="15">
                  <c:v>0.11988576956931753</c:v>
                </c:pt>
              </c:numCache>
            </c:numRef>
          </c:xVal>
          <c:yVal>
            <c:numRef>
              <c:f>Method!$R$9:$R$24</c:f>
              <c:numCache>
                <c:formatCode>0.0000</c:formatCode>
                <c:ptCount val="16"/>
                <c:pt idx="0">
                  <c:v>4.4138533324950685E-4</c:v>
                </c:pt>
                <c:pt idx="1">
                  <c:v>2.0380897504005246E-3</c:v>
                </c:pt>
                <c:pt idx="2">
                  <c:v>2.157225187285533E-3</c:v>
                </c:pt>
                <c:pt idx="3">
                  <c:v>1.2595497799197664E-3</c:v>
                </c:pt>
                <c:pt idx="4">
                  <c:v>-5.1880874977047742E-4</c:v>
                </c:pt>
                <c:pt idx="5">
                  <c:v>-6.2411271727234874E-4</c:v>
                </c:pt>
                <c:pt idx="6">
                  <c:v>4.7245325341557093E-4</c:v>
                </c:pt>
                <c:pt idx="7">
                  <c:v>8.2622210004260413E-4</c:v>
                </c:pt>
                <c:pt idx="8">
                  <c:v>-7.4214713552530481E-4</c:v>
                </c:pt>
                <c:pt idx="9">
                  <c:v>-2.5685927071113848E-3</c:v>
                </c:pt>
                <c:pt idx="10">
                  <c:v>-2.9098605901382787E-3</c:v>
                </c:pt>
                <c:pt idx="11">
                  <c:v>-3.0136581248756816E-3</c:v>
                </c:pt>
                <c:pt idx="12">
                  <c:v>-6.3870814647895569E-4</c:v>
                </c:pt>
                <c:pt idx="13">
                  <c:v>1.9888599270941887E-3</c:v>
                </c:pt>
                <c:pt idx="14">
                  <c:v>1.3812972547324748E-3</c:v>
                </c:pt>
                <c:pt idx="15">
                  <c:v>4.5080558503221568E-4</c:v>
                </c:pt>
              </c:numCache>
            </c:numRef>
          </c:yVal>
          <c:smooth val="0"/>
          <c:extLst xmlns:c16r2="http://schemas.microsoft.com/office/drawing/2015/06/chart">
            <c:ext xmlns:c16="http://schemas.microsoft.com/office/drawing/2014/chart" uri="{C3380CC4-5D6E-409C-BE32-E72D297353CC}">
              <c16:uniqueId val="{00000000-8584-4708-9CCD-CA62A3754DB5}"/>
            </c:ext>
          </c:extLst>
        </c:ser>
        <c:dLbls>
          <c:showLegendKey val="0"/>
          <c:showVal val="0"/>
          <c:showCatName val="0"/>
          <c:showSerName val="0"/>
          <c:showPercent val="0"/>
          <c:showBubbleSize val="0"/>
        </c:dLbls>
        <c:axId val="239819008"/>
        <c:axId val="243036544"/>
      </c:scatterChart>
      <c:valAx>
        <c:axId val="239819008"/>
        <c:scaling>
          <c:orientation val="minMax"/>
        </c:scaling>
        <c:delete val="0"/>
        <c:axPos val="b"/>
        <c:numFmt formatCode="0.000" sourceLinked="0"/>
        <c:majorTickMark val="out"/>
        <c:minorTickMark val="none"/>
        <c:tickLblPos val="nextTo"/>
        <c:spPr>
          <a:ln w="3175">
            <a:solidFill>
              <a:srgbClr val="000000"/>
            </a:solidFill>
            <a:prstDash val="solid"/>
          </a:ln>
        </c:spPr>
        <c:txPr>
          <a:bodyPr rot="-5400000" vert="horz"/>
          <a:lstStyle/>
          <a:p>
            <a:pPr>
              <a:defRPr sz="875" b="0" i="0" u="none" strike="noStrike" baseline="0">
                <a:solidFill>
                  <a:srgbClr val="000000"/>
                </a:solidFill>
                <a:latin typeface="Arial"/>
                <a:ea typeface="Arial"/>
                <a:cs typeface="Arial"/>
              </a:defRPr>
            </a:pPr>
            <a:endParaRPr lang="en-US"/>
          </a:p>
        </c:txPr>
        <c:crossAx val="243036544"/>
        <c:crosses val="autoZero"/>
        <c:crossBetween val="midCat"/>
      </c:valAx>
      <c:valAx>
        <c:axId val="243036544"/>
        <c:scaling>
          <c:orientation val="minMax"/>
        </c:scaling>
        <c:delete val="0"/>
        <c:axPos val="l"/>
        <c:majorGridlines>
          <c:spPr>
            <a:ln w="3175">
              <a:solidFill>
                <a:srgbClr val="00000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239819008"/>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000000000000422" r="0.75000000000000422"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14349404954518"/>
          <c:y val="5.9548314325103414E-2"/>
          <c:w val="0.72789486930572045"/>
          <c:h val="0.71826785676723626"/>
        </c:manualLayout>
      </c:layout>
      <c:scatterChart>
        <c:scatterStyle val="lineMarker"/>
        <c:varyColors val="0"/>
        <c:ser>
          <c:idx val="0"/>
          <c:order val="0"/>
          <c:tx>
            <c:strRef>
              <c:f>'Mortality rates'!$J$5</c:f>
              <c:strCache>
                <c:ptCount val="1"/>
                <c:pt idx="0">
                  <c:v>Obs. Y(x)</c:v>
                </c:pt>
              </c:strCache>
            </c:strRef>
          </c:tx>
          <c:spPr>
            <a:ln w="28575">
              <a:noFill/>
            </a:ln>
          </c:spPr>
          <c:marker>
            <c:symbol val="diamond"/>
            <c:size val="5"/>
            <c:spPr>
              <a:solidFill>
                <a:srgbClr val="000080"/>
              </a:solidFill>
              <a:ln>
                <a:solidFill>
                  <a:srgbClr val="000080"/>
                </a:solidFill>
                <a:prstDash val="solid"/>
              </a:ln>
            </c:spPr>
          </c:marker>
          <c:xVal>
            <c:numRef>
              <c:f>'Mortality rates'!$L$9:$L$25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'Mortality rates'!$J$9:$J$25</c:f>
              <c:numCache>
                <c:formatCode>0.0000_)</c:formatCode>
                <c:ptCount val="17"/>
                <c:pt idx="0">
                  <c:v>-2.5270416339178339</c:v>
                </c:pt>
                <c:pt idx="1">
                  <c:v>-2.2541976756331041</c:v>
                </c:pt>
                <c:pt idx="2">
                  <c:v>-1.9186395525820081</c:v>
                </c:pt>
                <c:pt idx="3">
                  <c:v>-1.5229085164858653</c:v>
                </c:pt>
                <c:pt idx="4">
                  <c:v>-1.127341285969687</c:v>
                </c:pt>
                <c:pt idx="5">
                  <c:v>-0.79506654606011895</c:v>
                </c:pt>
                <c:pt idx="6">
                  <c:v>-0.5544457691195992</c:v>
                </c:pt>
                <c:pt idx="7">
                  <c:v>-0.36355546006407491</c:v>
                </c:pt>
                <c:pt idx="8">
                  <c:v>-0.19921345167053436</c:v>
                </c:pt>
                <c:pt idx="9">
                  <c:v>-4.3265502099371078E-2</c:v>
                </c:pt>
                <c:pt idx="10">
                  <c:v>0.10965944335344807</c:v>
                </c:pt>
                <c:pt idx="11">
                  <c:v>0.27486590248640036</c:v>
                </c:pt>
                <c:pt idx="12">
                  <c:v>0.45615939304744868</c:v>
                </c:pt>
                <c:pt idx="13">
                  <c:v>0.66591931400872972</c:v>
                </c:pt>
                <c:pt idx="14">
                  <c:v>0.93265987259296534</c:v>
                </c:pt>
                <c:pt idx="15">
                  <c:v>1.2470175960567036</c:v>
                </c:pt>
                <c:pt idx="16">
                  <c:v>#N/A</c:v>
                </c:pt>
              </c:numCache>
            </c:numRef>
          </c:yVal>
          <c:smooth val="0"/>
          <c:extLst xmlns:c16r2="http://schemas.microsoft.com/office/drawing/2015/06/chart">
            <c:ext xmlns:c16="http://schemas.microsoft.com/office/drawing/2014/chart" uri="{C3380CC4-5D6E-409C-BE32-E72D297353CC}">
              <c16:uniqueId val="{00000000-46FA-49A3-ACD8-86D38F3361D3}"/>
            </c:ext>
          </c:extLst>
        </c:ser>
        <c:ser>
          <c:idx val="1"/>
          <c:order val="1"/>
          <c:tx>
            <c:strRef>
              <c:f>'Mortality rates'!$M$5</c:f>
              <c:strCache>
                <c:ptCount val="1"/>
                <c:pt idx="0">
                  <c:v>Fitted Y(x)</c:v>
                </c:pt>
              </c:strCache>
            </c:strRef>
          </c:tx>
          <c:spPr>
            <a:ln w="12700">
              <a:solidFill>
                <a:srgbClr val="FF00FF"/>
              </a:solidFill>
              <a:prstDash val="solid"/>
            </a:ln>
          </c:spPr>
          <c:marker>
            <c:symbol val="none"/>
          </c:marker>
          <c:xVal>
            <c:numRef>
              <c:f>'Mortality rates'!$L$9:$L$25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'Mortality rates'!$M$9:$M$25</c:f>
              <c:numCache>
                <c:formatCode>0.0000_)</c:formatCode>
                <c:ptCount val="17"/>
                <c:pt idx="0">
                  <c:v>-2.0573905139058963</c:v>
                </c:pt>
                <c:pt idx="1">
                  <c:v>-1.7297349530502026</c:v>
                </c:pt>
                <c:pt idx="2">
                  <c:v>-1.5545417267831945</c:v>
                </c:pt>
                <c:pt idx="3">
                  <c:v>-1.3484535594199925</c:v>
                </c:pt>
                <c:pt idx="4">
                  <c:v>-1.074651317397191</c:v>
                </c:pt>
                <c:pt idx="5">
                  <c:v>-0.78289571846853201</c:v>
                </c:pt>
                <c:pt idx="6">
                  <c:v>-0.53863798202204294</c:v>
                </c:pt>
                <c:pt idx="7">
                  <c:v>-0.33436287816389465</c:v>
                </c:pt>
                <c:pt idx="8">
                  <c:v>-0.1719530742084697</c:v>
                </c:pt>
                <c:pt idx="9">
                  <c:v>-4.1003785532426923E-2</c:v>
                </c:pt>
                <c:pt idx="10">
                  <c:v>8.5353916816766406E-2</c:v>
                </c:pt>
                <c:pt idx="11">
                  <c:v>0.23133570807379022</c:v>
                </c:pt>
                <c:pt idx="12">
                  <c:v>0.42370749621935311</c:v>
                </c:pt>
                <c:pt idx="13">
                  <c:v>0.66610755355425211</c:v>
                </c:pt>
                <c:pt idx="14">
                  <c:v>0.97404457489564122</c:v>
                </c:pt>
                <c:pt idx="15">
                  <c:v>1.3964219733565988</c:v>
                </c:pt>
                <c:pt idx="16">
                  <c:v>1.9936635292469076</c:v>
                </c:pt>
              </c:numCache>
            </c:numRef>
          </c:yVal>
          <c:smooth val="0"/>
          <c:extLst xmlns:c16r2="http://schemas.microsoft.com/office/drawing/2015/06/chart">
            <c:ext xmlns:c16="http://schemas.microsoft.com/office/drawing/2014/chart" uri="{C3380CC4-5D6E-409C-BE32-E72D297353CC}">
              <c16:uniqueId val="{00000001-46FA-49A3-ACD8-86D38F3361D3}"/>
            </c:ext>
          </c:extLst>
        </c:ser>
        <c:dLbls>
          <c:showLegendKey val="0"/>
          <c:showVal val="0"/>
          <c:showCatName val="0"/>
          <c:showSerName val="0"/>
          <c:showPercent val="0"/>
          <c:showBubbleSize val="0"/>
        </c:dLbls>
        <c:axId val="214394368"/>
        <c:axId val="214396288"/>
      </c:scatterChart>
      <c:valAx>
        <c:axId val="21439436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ZA" sz="1500" b="1" i="0" u="none" strike="noStrike" baseline="0">
                    <a:solidFill>
                      <a:srgbClr val="000000"/>
                    </a:solidFill>
                    <a:latin typeface="Times New Roman"/>
                    <a:cs typeface="Times New Roman"/>
                  </a:rPr>
                  <a:t>Y</a:t>
                </a:r>
                <a:r>
                  <a:rPr lang="en-ZA" sz="1500" b="1" i="0" u="none" strike="noStrike" baseline="-25000">
                    <a:solidFill>
                      <a:srgbClr val="000000"/>
                    </a:solidFill>
                    <a:latin typeface="Times New Roman"/>
                    <a:cs typeface="Times New Roman"/>
                  </a:rPr>
                  <a:t>s</a:t>
                </a:r>
                <a:r>
                  <a:rPr lang="en-ZA" sz="1500" b="1" i="0" u="none" strike="noStrike" baseline="0">
                    <a:solidFill>
                      <a:srgbClr val="000000"/>
                    </a:solidFill>
                    <a:latin typeface="Times New Roman"/>
                    <a:cs typeface="Times New Roman"/>
                  </a:rPr>
                  <a:t>(x)</a:t>
                </a:r>
              </a:p>
            </c:rich>
          </c:tx>
          <c:layout>
            <c:manualLayout>
              <c:xMode val="edge"/>
              <c:yMode val="edge"/>
              <c:x val="0.43823571711070364"/>
              <c:y val="0.85643011898668497"/>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214396288"/>
        <c:crossesAt val="0"/>
        <c:crossBetween val="midCat"/>
      </c:valAx>
      <c:valAx>
        <c:axId val="214396288"/>
        <c:scaling>
          <c:orientation val="minMax"/>
        </c:scaling>
        <c:delete val="0"/>
        <c:axPos val="l"/>
        <c:title>
          <c:tx>
            <c:rich>
              <a:bodyPr/>
              <a:lstStyle/>
              <a:p>
                <a:pPr>
                  <a:defRPr sz="1500" b="1" i="0" u="none" strike="noStrike" baseline="0">
                    <a:solidFill>
                      <a:srgbClr val="000000"/>
                    </a:solidFill>
                    <a:latin typeface="Times New Roman"/>
                    <a:ea typeface="Times New Roman"/>
                    <a:cs typeface="Times New Roman"/>
                  </a:defRPr>
                </a:pPr>
                <a:r>
                  <a:rPr lang="en-ZA"/>
                  <a:t>Y(x)</a:t>
                </a:r>
              </a:p>
            </c:rich>
          </c:tx>
          <c:layout>
            <c:manualLayout>
              <c:xMode val="edge"/>
              <c:yMode val="edge"/>
              <c:x val="1.6666666666666701E-2"/>
              <c:y val="0.37987722787218642"/>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214394368"/>
        <c:crossesAt val="0"/>
        <c:crossBetween val="midCat"/>
      </c:valAx>
      <c:spPr>
        <a:noFill/>
        <a:ln w="25400">
          <a:noFill/>
        </a:ln>
      </c:spPr>
    </c:plotArea>
    <c:legend>
      <c:legendPos val="b"/>
      <c:layout>
        <c:manualLayout>
          <c:xMode val="edge"/>
          <c:yMode val="edge"/>
          <c:x val="0.34117677937317026"/>
          <c:y val="0.92402550297229269"/>
          <c:w val="0.23823549997426968"/>
          <c:h val="5.9548254620123413E-2"/>
        </c:manualLayout>
      </c:layout>
      <c:overlay val="0"/>
      <c:spPr>
        <a:noFill/>
        <a:ln w="25400">
          <a:noFill/>
        </a:ln>
      </c:spPr>
      <c:txPr>
        <a:bodyPr/>
        <a:lstStyle/>
        <a:p>
          <a:pPr>
            <a:defRPr sz="108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0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33" r="0.75000000000000433"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67021560228218"/>
          <c:y val="4.4768224536449346E-2"/>
          <c:w val="0.63851371287392689"/>
          <c:h val="0.82426054102108159"/>
        </c:manualLayout>
      </c:layout>
      <c:scatterChart>
        <c:scatterStyle val="lineMarker"/>
        <c:varyColors val="0"/>
        <c:ser>
          <c:idx val="1"/>
          <c:order val="0"/>
          <c:tx>
            <c:v>Smoothed adjusted rates</c:v>
          </c:tx>
          <c:spPr>
            <a:ln w="15875">
              <a:solidFill>
                <a:srgbClr val="FF00FF"/>
              </a:solidFill>
            </a:ln>
          </c:spPr>
          <c:marker>
            <c:symbol val="none"/>
          </c:marker>
          <c:xVal>
            <c:numRef>
              <c:f>'Mortality rates'!$R$8:$R$24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'Mortality rates'!$Q$8:$Q$24</c:f>
              <c:numCache>
                <c:formatCode>0.0000</c:formatCode>
                <c:ptCount val="17"/>
                <c:pt idx="0">
                  <c:v>3.2394537897495043E-3</c:v>
                </c:pt>
                <c:pt idx="1">
                  <c:v>2.9528448138803559E-3</c:v>
                </c:pt>
                <c:pt idx="2">
                  <c:v>2.5423631341051581E-3</c:v>
                </c:pt>
                <c:pt idx="3">
                  <c:v>4.3127351063204124E-3</c:v>
                </c:pt>
                <c:pt idx="4">
                  <c:v>9.0022335236406032E-3</c:v>
                </c:pt>
                <c:pt idx="5">
                  <c:v>1.58860729264594E-2</c:v>
                </c:pt>
                <c:pt idx="6">
                  <c:v>2.0647519220990805E-2</c:v>
                </c:pt>
                <c:pt idx="7">
                  <c:v>2.4093407846255636E-2</c:v>
                </c:pt>
                <c:pt idx="8">
                  <c:v>2.441635136734217E-2</c:v>
                </c:pt>
                <c:pt idx="9">
                  <c:v>2.3388902413135852E-2</c:v>
                </c:pt>
                <c:pt idx="10">
                  <c:v>2.5795254850507866E-2</c:v>
                </c:pt>
                <c:pt idx="11">
                  <c:v>3.3693242328910515E-2</c:v>
                </c:pt>
                <c:pt idx="12">
                  <c:v>5.034148001803327E-2</c:v>
                </c:pt>
                <c:pt idx="13">
                  <c:v>7.1688548682359729E-2</c:v>
                </c:pt>
                <c:pt idx="14">
                  <c:v>0.10077056463687141</c:v>
                </c:pt>
                <c:pt idx="15">
                  <c:v>0.14697935054959235</c:v>
                </c:pt>
                <c:pt idx="16">
                  <c:v>0.20810773603387986</c:v>
                </c:pt>
              </c:numCache>
            </c:numRef>
          </c:yVal>
          <c:smooth val="0"/>
          <c:extLst xmlns:c16r2="http://schemas.microsoft.com/office/drawing/2015/06/chart">
            <c:ext xmlns:c16="http://schemas.microsoft.com/office/drawing/2014/chart" uri="{C3380CC4-5D6E-409C-BE32-E72D297353CC}">
              <c16:uniqueId val="{00000000-EFDA-4B17-A259-248F14697A64}"/>
            </c:ext>
          </c:extLst>
        </c:ser>
        <c:ser>
          <c:idx val="0"/>
          <c:order val="1"/>
          <c:tx>
            <c:v>Observed adjusted rates</c:v>
          </c:tx>
          <c:spPr>
            <a:ln>
              <a:noFill/>
            </a:ln>
          </c:spPr>
          <c:marker>
            <c:symbol val="diamond"/>
            <c:size val="5"/>
            <c:spPr>
              <a:solidFill>
                <a:schemeClr val="tx2"/>
              </a:solidFill>
              <a:ln>
                <a:solidFill>
                  <a:schemeClr val="tx2"/>
                </a:solidFill>
              </a:ln>
            </c:spPr>
          </c:marker>
          <c:xVal>
            <c:numRef>
              <c:f>'Mortality rates'!$R$8:$R$24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'Mortality rates'!$F$8:$F$24</c:f>
              <c:numCache>
                <c:formatCode>0.0000</c:formatCode>
                <c:ptCount val="17"/>
                <c:pt idx="0">
                  <c:v>1.2725815746353704E-3</c:v>
                </c:pt>
                <c:pt idx="1">
                  <c:v>9.1859001622669333E-4</c:v>
                </c:pt>
                <c:pt idx="2">
                  <c:v>2.0734437062014124E-3</c:v>
                </c:pt>
                <c:pt idx="3">
                  <c:v>5.0273368349164774E-3</c:v>
                </c:pt>
                <c:pt idx="4">
                  <c:v>1.0657440269531158E-2</c:v>
                </c:pt>
                <c:pt idx="5">
                  <c:v>1.715027825520787E-2</c:v>
                </c:pt>
                <c:pt idx="6">
                  <c:v>1.9894996211875023E-2</c:v>
                </c:pt>
                <c:pt idx="7">
                  <c:v>2.1808232198766958E-2</c:v>
                </c:pt>
                <c:pt idx="8">
                  <c:v>2.3846749455380324E-2</c:v>
                </c:pt>
                <c:pt idx="9">
                  <c:v>2.7391161835354623E-2</c:v>
                </c:pt>
                <c:pt idx="10">
                  <c:v>3.1532411812170945E-2</c:v>
                </c:pt>
                <c:pt idx="11">
                  <c:v>3.9177043887829305E-2</c:v>
                </c:pt>
                <c:pt idx="12">
                  <c:v>4.867854341472596E-2</c:v>
                </c:pt>
                <c:pt idx="13">
                  <c:v>6.2715512525243253E-2</c:v>
                </c:pt>
                <c:pt idx="14">
                  <c:v>8.7212094698871201E-2</c:v>
                </c:pt>
                <c:pt idx="15">
                  <c:v>0.10991892881482793</c:v>
                </c:pt>
                <c:pt idx="16">
                  <c:v>0.16563633766747676</c:v>
                </c:pt>
              </c:numCache>
            </c:numRef>
          </c:yVal>
          <c:smooth val="0"/>
          <c:extLst xmlns:c16r2="http://schemas.microsoft.com/office/drawing/2015/06/chart">
            <c:ext xmlns:c16="http://schemas.microsoft.com/office/drawing/2014/chart" uri="{C3380CC4-5D6E-409C-BE32-E72D297353CC}">
              <c16:uniqueId val="{00000001-EFDA-4B17-A259-248F14697A64}"/>
            </c:ext>
          </c:extLst>
        </c:ser>
        <c:dLbls>
          <c:showLegendKey val="0"/>
          <c:showVal val="0"/>
          <c:showCatName val="0"/>
          <c:showSerName val="0"/>
          <c:showPercent val="0"/>
          <c:showBubbleSize val="0"/>
        </c:dLbls>
        <c:axId val="224736000"/>
        <c:axId val="224737920"/>
      </c:scatterChart>
      <c:valAx>
        <c:axId val="224736000"/>
        <c:scaling>
          <c:orientation val="minMax"/>
          <c:max val="85"/>
          <c:min val="0"/>
        </c:scaling>
        <c:delete val="0"/>
        <c:axPos val="b"/>
        <c:numFmt formatCode="General" sourceLinked="1"/>
        <c:majorTickMark val="out"/>
        <c:minorTickMark val="none"/>
        <c:tickLblPos val="nextTo"/>
        <c:crossAx val="224737920"/>
        <c:crosses val="autoZero"/>
        <c:crossBetween val="midCat"/>
      </c:valAx>
      <c:valAx>
        <c:axId val="224737920"/>
        <c:scaling>
          <c:orientation val="minMax"/>
        </c:scaling>
        <c:delete val="0"/>
        <c:axPos val="l"/>
        <c:majorGridlines/>
        <c:title>
          <c:tx>
            <c:rich>
              <a:bodyPr rot="-5400000" vert="horz"/>
              <a:lstStyle/>
              <a:p>
                <a:pPr>
                  <a:defRPr/>
                </a:pPr>
                <a:r>
                  <a:rPr lang="en-US"/>
                  <a:t>5mx</a:t>
                </a:r>
              </a:p>
            </c:rich>
          </c:tx>
          <c:layout/>
          <c:overlay val="0"/>
        </c:title>
        <c:numFmt formatCode="0.00" sourceLinked="0"/>
        <c:majorTickMark val="out"/>
        <c:minorTickMark val="none"/>
        <c:tickLblPos val="nextTo"/>
        <c:crossAx val="224736000"/>
        <c:crosses val="autoZero"/>
        <c:crossBetween val="midCat"/>
      </c:valAx>
    </c:plotArea>
    <c:legend>
      <c:legendPos val="r"/>
      <c:layout>
        <c:manualLayout>
          <c:xMode val="edge"/>
          <c:yMode val="edge"/>
          <c:x val="0.77007891790050198"/>
          <c:y val="0.42708502667005332"/>
          <c:w val="0.21637706404080981"/>
          <c:h val="0.34692772598827448"/>
        </c:manualLayout>
      </c:layout>
      <c:overlay val="0"/>
      <c:spPr>
        <a:solidFill>
          <a:srgbClr val="FFEB9B"/>
        </a:solidFill>
      </c:spPr>
    </c:legend>
    <c:plotVisOnly val="1"/>
    <c:dispBlanksAs val="gap"/>
    <c:showDLblsOverMax val="0"/>
  </c:chart>
  <c:spPr>
    <a:ln>
      <a:noFill/>
    </a:ln>
  </c:spPr>
  <c:printSettings>
    <c:headerFooter/>
    <c:pageMargins b="0.75000000000000167" l="0.70000000000000062" r="0.70000000000000062" t="0.7500000000000016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391"/>
          <c:y val="0.15722823340825584"/>
          <c:w val="0.75212009351544507"/>
          <c:h val="0.63414005192270861"/>
        </c:manualLayout>
      </c:layout>
      <c:scatterChart>
        <c:scatterStyle val="lineMarker"/>
        <c:varyColors val="0"/>
        <c:ser>
          <c:idx val="0"/>
          <c:order val="0"/>
          <c:tx>
            <c:v>Observations</c:v>
          </c:tx>
          <c:spPr>
            <a:ln>
              <a:noFill/>
            </a:ln>
          </c:spPr>
          <c:marker>
            <c:symbol val="square"/>
            <c:size val="5"/>
          </c:marker>
          <c:xVal>
            <c:numRef>
              <c:f>Method!$O$8:$O$24</c:f>
              <c:numCache>
                <c:formatCode>0.00000</c:formatCode>
                <c:ptCount val="17"/>
                <c:pt idx="0">
                  <c:v>0</c:v>
                </c:pt>
                <c:pt idx="1">
                  <c:v>1.2791978856732972E-2</c:v>
                </c:pt>
                <c:pt idx="2">
                  <c:v>1.4445843907337837E-2</c:v>
                </c:pt>
                <c:pt idx="3">
                  <c:v>1.6700073307140042E-2</c:v>
                </c:pt>
                <c:pt idx="4">
                  <c:v>1.9659507723496818E-2</c:v>
                </c:pt>
                <c:pt idx="5">
                  <c:v>2.2914726732663045E-2</c:v>
                </c:pt>
                <c:pt idx="6">
                  <c:v>2.6016956922160283E-2</c:v>
                </c:pt>
                <c:pt idx="7">
                  <c:v>2.8714748793247806E-2</c:v>
                </c:pt>
                <c:pt idx="8">
                  <c:v>3.1782093128643711E-2</c:v>
                </c:pt>
                <c:pt idx="9">
                  <c:v>3.569431967738166E-2</c:v>
                </c:pt>
                <c:pt idx="10">
                  <c:v>4.079877823269519E-2</c:v>
                </c:pt>
                <c:pt idx="11">
                  <c:v>4.7366131475054585E-2</c:v>
                </c:pt>
                <c:pt idx="12">
                  <c:v>5.5949567034410008E-2</c:v>
                </c:pt>
                <c:pt idx="13">
                  <c:v>6.6592601988356925E-2</c:v>
                </c:pt>
                <c:pt idx="14">
                  <c:v>8.0933903511669514E-2</c:v>
                </c:pt>
                <c:pt idx="15">
                  <c:v>9.9770543956229224E-2</c:v>
                </c:pt>
                <c:pt idx="16">
                  <c:v>0.11988576956931753</c:v>
                </c:pt>
              </c:numCache>
            </c:numRef>
          </c:xVal>
          <c:yVal>
            <c:numRef>
              <c:f>Method!$P$8:$P$24</c:f>
              <c:numCache>
                <c:formatCode>0.00000</c:formatCode>
                <c:ptCount val="17"/>
                <c:pt idx="1">
                  <c:v>9.7189236334262498E-3</c:v>
                </c:pt>
                <c:pt idx="2">
                  <c:v>1.3119539228598152E-2</c:v>
                </c:pt>
                <c:pt idx="3">
                  <c:v>1.5697417965391036E-2</c:v>
                </c:pt>
                <c:pt idx="4">
                  <c:v>1.8027670267322497E-2</c:v>
                </c:pt>
                <c:pt idx="5">
                  <c:v>1.9799858957548065E-2</c:v>
                </c:pt>
                <c:pt idx="6">
                  <c:v>2.3078233551716777E-2</c:v>
                </c:pt>
                <c:pt idx="7">
                  <c:v>2.7117347289798907E-2</c:v>
                </c:pt>
                <c:pt idx="8">
                  <c:v>3.0816743841320039E-2</c:v>
                </c:pt>
                <c:pt idx="9">
                  <c:v>3.3515536064685797E-2</c:v>
                </c:pt>
                <c:pt idx="10">
                  <c:v>3.7256648645626611E-2</c:v>
                </c:pt>
                <c:pt idx="11">
                  <c:v>4.4078554033339712E-2</c:v>
                </c:pt>
                <c:pt idx="12">
                  <c:v>5.3336920204571155E-2</c:v>
                </c:pt>
                <c:pt idx="13">
                  <c:v>6.7320489468120664E-2</c:v>
                </c:pt>
                <c:pt idx="14">
                  <c:v>8.5590466888097266E-2</c:v>
                </c:pt>
                <c:pt idx="15">
                  <c:v>0.10552848998881555</c:v>
                </c:pt>
                <c:pt idx="16">
                  <c:v>0.12653816829767017</c:v>
                </c:pt>
              </c:numCache>
            </c:numRef>
          </c:yVal>
          <c:smooth val="0"/>
          <c:extLst xmlns:c16r2="http://schemas.microsoft.com/office/drawing/2015/06/chart">
            <c:ext xmlns:c16="http://schemas.microsoft.com/office/drawing/2014/chart" uri="{C3380CC4-5D6E-409C-BE32-E72D297353CC}">
              <c16:uniqueId val="{00000000-85CD-4D5F-A8E0-50E303274A31}"/>
            </c:ext>
          </c:extLst>
        </c:ser>
        <c:ser>
          <c:idx val="1"/>
          <c:order val="1"/>
          <c:tx>
            <c:v>Fit</c:v>
          </c:tx>
          <c:spPr>
            <a:ln>
              <a:solidFill>
                <a:srgbClr val="FF66FF"/>
              </a:solidFill>
              <a:prstDash val="solid"/>
            </a:ln>
          </c:spPr>
          <c:marker>
            <c:symbol val="none"/>
          </c:marker>
          <c:xVal>
            <c:numRef>
              <c:f>Method!$O$8:$O$24</c:f>
              <c:numCache>
                <c:formatCode>0.00000</c:formatCode>
                <c:ptCount val="17"/>
                <c:pt idx="0">
                  <c:v>0</c:v>
                </c:pt>
                <c:pt idx="1">
                  <c:v>1.2791978856732972E-2</c:v>
                </c:pt>
                <c:pt idx="2">
                  <c:v>1.4445843907337837E-2</c:v>
                </c:pt>
                <c:pt idx="3">
                  <c:v>1.6700073307140042E-2</c:v>
                </c:pt>
                <c:pt idx="4">
                  <c:v>1.9659507723496818E-2</c:v>
                </c:pt>
                <c:pt idx="5">
                  <c:v>2.2914726732663045E-2</c:v>
                </c:pt>
                <c:pt idx="6">
                  <c:v>2.6016956922160283E-2</c:v>
                </c:pt>
                <c:pt idx="7">
                  <c:v>2.8714748793247806E-2</c:v>
                </c:pt>
                <c:pt idx="8">
                  <c:v>3.1782093128643711E-2</c:v>
                </c:pt>
                <c:pt idx="9">
                  <c:v>3.569431967738166E-2</c:v>
                </c:pt>
                <c:pt idx="10">
                  <c:v>4.079877823269519E-2</c:v>
                </c:pt>
                <c:pt idx="11">
                  <c:v>4.7366131475054585E-2</c:v>
                </c:pt>
                <c:pt idx="12">
                  <c:v>5.5949567034410008E-2</c:v>
                </c:pt>
                <c:pt idx="13">
                  <c:v>6.6592601988356925E-2</c:v>
                </c:pt>
                <c:pt idx="14">
                  <c:v>8.0933903511669514E-2</c:v>
                </c:pt>
                <c:pt idx="15">
                  <c:v>9.9770543956229224E-2</c:v>
                </c:pt>
                <c:pt idx="16">
                  <c:v>0.11988576956931753</c:v>
                </c:pt>
              </c:numCache>
            </c:numRef>
          </c:xVal>
          <c:yVal>
            <c:numRef>
              <c:f>Method!$Q$8:$Q$24</c:f>
              <c:numCache>
                <c:formatCode>0.0000</c:formatCode>
                <c:ptCount val="17"/>
                <c:pt idx="0">
                  <c:v>-4.6749868107614431E-3</c:v>
                </c:pt>
                <c:pt idx="1">
                  <c:v>9.2775383001767429E-3</c:v>
                </c:pt>
                <c:pt idx="2">
                  <c:v>1.1081449478197627E-2</c:v>
                </c:pt>
                <c:pt idx="3">
                  <c:v>1.3540192778105503E-2</c:v>
                </c:pt>
                <c:pt idx="4">
                  <c:v>1.676812048740273E-2</c:v>
                </c:pt>
                <c:pt idx="5">
                  <c:v>2.0318667707318543E-2</c:v>
                </c:pt>
                <c:pt idx="6">
                  <c:v>2.3702346268989125E-2</c:v>
                </c:pt>
                <c:pt idx="7">
                  <c:v>2.6644894036383336E-2</c:v>
                </c:pt>
                <c:pt idx="8">
                  <c:v>2.9990521741277434E-2</c:v>
                </c:pt>
                <c:pt idx="9">
                  <c:v>3.4257683200211102E-2</c:v>
                </c:pt>
                <c:pt idx="10">
                  <c:v>3.9825241352737996E-2</c:v>
                </c:pt>
                <c:pt idx="11">
                  <c:v>4.6988414623477991E-2</c:v>
                </c:pt>
                <c:pt idx="12">
                  <c:v>5.6350578329446836E-2</c:v>
                </c:pt>
                <c:pt idx="13">
                  <c:v>6.795919761459962E-2</c:v>
                </c:pt>
                <c:pt idx="14">
                  <c:v>8.3601606961003078E-2</c:v>
                </c:pt>
                <c:pt idx="15">
                  <c:v>0.10414719273408307</c:v>
                </c:pt>
                <c:pt idx="16">
                  <c:v>0.12608736271263796</c:v>
                </c:pt>
              </c:numCache>
            </c:numRef>
          </c:yVal>
          <c:smooth val="0"/>
          <c:extLst xmlns:c16r2="http://schemas.microsoft.com/office/drawing/2015/06/chart">
            <c:ext xmlns:c16="http://schemas.microsoft.com/office/drawing/2014/chart" uri="{C3380CC4-5D6E-409C-BE32-E72D297353CC}">
              <c16:uniqueId val="{00000001-85CD-4D5F-A8E0-50E303274A31}"/>
            </c:ext>
          </c:extLst>
        </c:ser>
        <c:dLbls>
          <c:showLegendKey val="0"/>
          <c:showVal val="0"/>
          <c:showCatName val="0"/>
          <c:showSerName val="0"/>
          <c:showPercent val="0"/>
          <c:showBubbleSize val="0"/>
        </c:dLbls>
        <c:axId val="224768768"/>
        <c:axId val="224770688"/>
      </c:scatterChart>
      <c:valAx>
        <c:axId val="224768768"/>
        <c:scaling>
          <c:orientation val="minMax"/>
        </c:scaling>
        <c:delete val="0"/>
        <c:axPos val="b"/>
        <c:title>
          <c:tx>
            <c:rich>
              <a:bodyPr/>
              <a:lstStyle/>
              <a:p>
                <a:pPr>
                  <a:defRPr/>
                </a:pPr>
                <a:r>
                  <a:rPr lang="en-US"/>
                  <a:t>d(x+)</a:t>
                </a:r>
              </a:p>
            </c:rich>
          </c:tx>
          <c:overlay val="0"/>
        </c:title>
        <c:numFmt formatCode="0.000" sourceLinked="0"/>
        <c:majorTickMark val="out"/>
        <c:minorTickMark val="none"/>
        <c:tickLblPos val="nextTo"/>
        <c:crossAx val="224770688"/>
        <c:crosses val="autoZero"/>
        <c:crossBetween val="midCat"/>
        <c:majorUnit val="2.0000000000000011E-2"/>
      </c:valAx>
      <c:valAx>
        <c:axId val="224770688"/>
        <c:scaling>
          <c:orientation val="minMax"/>
        </c:scaling>
        <c:delete val="0"/>
        <c:axPos val="l"/>
        <c:majorGridlines/>
        <c:title>
          <c:tx>
            <c:rich>
              <a:bodyPr rot="-5400000" vert="horz"/>
              <a:lstStyle/>
              <a:p>
                <a:pPr>
                  <a:defRPr/>
                </a:pPr>
                <a:r>
                  <a:rPr lang="en-US"/>
                  <a:t>n(x+)-r(x+)+i(x+)</a:t>
                </a:r>
              </a:p>
            </c:rich>
          </c:tx>
          <c:overlay val="0"/>
        </c:title>
        <c:numFmt formatCode="0.000" sourceLinked="0"/>
        <c:majorTickMark val="out"/>
        <c:minorTickMark val="none"/>
        <c:tickLblPos val="nextTo"/>
        <c:crossAx val="224768768"/>
        <c:crosses val="autoZero"/>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 l="0.70000000000000062" r="0.70000000000000062" t="0.75000000000000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8942229605020397"/>
          <c:y val="0.15722823340825592"/>
          <c:w val="0.75212009351544551"/>
          <c:h val="0.63414005192270861"/>
        </c:manualLayout>
      </c:layout>
      <c:scatterChart>
        <c:scatterStyle val="lineMarker"/>
        <c:varyColors val="0"/>
        <c:ser>
          <c:idx val="0"/>
          <c:order val="0"/>
          <c:tx>
            <c:v>Residuals</c:v>
          </c:tx>
          <c:spPr>
            <a:ln>
              <a:solidFill>
                <a:srgbClr val="0070C0"/>
              </a:solidFill>
            </a:ln>
          </c:spPr>
          <c:marker>
            <c:symbol val="square"/>
            <c:size val="5"/>
          </c:marker>
          <c:xVal>
            <c:numRef>
              <c:f>Method!$O$9:$O$24</c:f>
              <c:numCache>
                <c:formatCode>0.00000</c:formatCode>
                <c:ptCount val="16"/>
                <c:pt idx="0">
                  <c:v>1.2791978856732972E-2</c:v>
                </c:pt>
                <c:pt idx="1">
                  <c:v>1.4445843907337837E-2</c:v>
                </c:pt>
                <c:pt idx="2">
                  <c:v>1.6700073307140042E-2</c:v>
                </c:pt>
                <c:pt idx="3">
                  <c:v>1.9659507723496818E-2</c:v>
                </c:pt>
                <c:pt idx="4">
                  <c:v>2.2914726732663045E-2</c:v>
                </c:pt>
                <c:pt idx="5">
                  <c:v>2.6016956922160283E-2</c:v>
                </c:pt>
                <c:pt idx="6">
                  <c:v>2.8714748793247806E-2</c:v>
                </c:pt>
                <c:pt idx="7">
                  <c:v>3.1782093128643711E-2</c:v>
                </c:pt>
                <c:pt idx="8">
                  <c:v>3.569431967738166E-2</c:v>
                </c:pt>
                <c:pt idx="9">
                  <c:v>4.079877823269519E-2</c:v>
                </c:pt>
                <c:pt idx="10">
                  <c:v>4.7366131475054585E-2</c:v>
                </c:pt>
                <c:pt idx="11">
                  <c:v>5.5949567034410008E-2</c:v>
                </c:pt>
                <c:pt idx="12">
                  <c:v>6.6592601988356925E-2</c:v>
                </c:pt>
                <c:pt idx="13">
                  <c:v>8.0933903511669514E-2</c:v>
                </c:pt>
                <c:pt idx="14">
                  <c:v>9.9770543956229224E-2</c:v>
                </c:pt>
                <c:pt idx="15">
                  <c:v>0.11988576956931753</c:v>
                </c:pt>
              </c:numCache>
            </c:numRef>
          </c:xVal>
          <c:yVal>
            <c:numRef>
              <c:f>Method!$R$9:$R$24</c:f>
              <c:numCache>
                <c:formatCode>0.0000</c:formatCode>
                <c:ptCount val="16"/>
                <c:pt idx="0">
                  <c:v>4.4138533324950685E-4</c:v>
                </c:pt>
                <c:pt idx="1">
                  <c:v>2.0380897504005246E-3</c:v>
                </c:pt>
                <c:pt idx="2">
                  <c:v>2.157225187285533E-3</c:v>
                </c:pt>
                <c:pt idx="3">
                  <c:v>1.2595497799197664E-3</c:v>
                </c:pt>
                <c:pt idx="4">
                  <c:v>-5.1880874977047742E-4</c:v>
                </c:pt>
                <c:pt idx="5">
                  <c:v>-6.2411271727234874E-4</c:v>
                </c:pt>
                <c:pt idx="6">
                  <c:v>4.7245325341557093E-4</c:v>
                </c:pt>
                <c:pt idx="7">
                  <c:v>8.2622210004260413E-4</c:v>
                </c:pt>
                <c:pt idx="8">
                  <c:v>-7.4214713552530481E-4</c:v>
                </c:pt>
                <c:pt idx="9">
                  <c:v>-2.5685927071113848E-3</c:v>
                </c:pt>
                <c:pt idx="10">
                  <c:v>-2.9098605901382787E-3</c:v>
                </c:pt>
                <c:pt idx="11">
                  <c:v>-3.0136581248756816E-3</c:v>
                </c:pt>
                <c:pt idx="12">
                  <c:v>-6.3870814647895569E-4</c:v>
                </c:pt>
                <c:pt idx="13">
                  <c:v>1.9888599270941887E-3</c:v>
                </c:pt>
                <c:pt idx="14">
                  <c:v>1.3812972547324748E-3</c:v>
                </c:pt>
                <c:pt idx="15">
                  <c:v>4.5080558503221568E-4</c:v>
                </c:pt>
              </c:numCache>
            </c:numRef>
          </c:yVal>
          <c:smooth val="0"/>
          <c:extLst xmlns:c16r2="http://schemas.microsoft.com/office/drawing/2015/06/chart">
            <c:ext xmlns:c16="http://schemas.microsoft.com/office/drawing/2014/chart" uri="{C3380CC4-5D6E-409C-BE32-E72D297353CC}">
              <c16:uniqueId val="{00000000-7B01-4916-8854-0408980086F4}"/>
            </c:ext>
          </c:extLst>
        </c:ser>
        <c:dLbls>
          <c:showLegendKey val="0"/>
          <c:showVal val="0"/>
          <c:showCatName val="0"/>
          <c:showSerName val="0"/>
          <c:showPercent val="0"/>
          <c:showBubbleSize val="0"/>
        </c:dLbls>
        <c:axId val="224787456"/>
        <c:axId val="224810112"/>
      </c:scatterChart>
      <c:valAx>
        <c:axId val="224787456"/>
        <c:scaling>
          <c:orientation val="minMax"/>
        </c:scaling>
        <c:delete val="0"/>
        <c:axPos val="b"/>
        <c:title>
          <c:tx>
            <c:rich>
              <a:bodyPr/>
              <a:lstStyle/>
              <a:p>
                <a:pPr>
                  <a:defRPr/>
                </a:pPr>
                <a:r>
                  <a:rPr lang="en-US"/>
                  <a:t>d(x+)</a:t>
                </a:r>
              </a:p>
            </c:rich>
          </c:tx>
          <c:overlay val="0"/>
        </c:title>
        <c:numFmt formatCode="0.000" sourceLinked="0"/>
        <c:majorTickMark val="out"/>
        <c:minorTickMark val="none"/>
        <c:tickLblPos val="nextTo"/>
        <c:crossAx val="224810112"/>
        <c:crosses val="autoZero"/>
        <c:crossBetween val="midCat"/>
        <c:majorUnit val="2.0000000000000011E-2"/>
      </c:valAx>
      <c:valAx>
        <c:axId val="224810112"/>
        <c:scaling>
          <c:orientation val="minMax"/>
        </c:scaling>
        <c:delete val="0"/>
        <c:axPos val="l"/>
        <c:majorGridlines/>
        <c:numFmt formatCode="0.000" sourceLinked="0"/>
        <c:majorTickMark val="out"/>
        <c:minorTickMark val="none"/>
        <c:tickLblPos val="nextTo"/>
        <c:crossAx val="224787456"/>
        <c:crosses val="autoZero"/>
        <c:crossBetween val="midCat"/>
      </c:valAx>
      <c:spPr>
        <a:solidFill>
          <a:schemeClr val="bg1"/>
        </a:solidFill>
      </c:spPr>
    </c:plotArea>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394"/>
          <c:y val="0.15722823340825587"/>
          <c:w val="0.75212009351544529"/>
          <c:h val="0.63414005192270861"/>
        </c:manualLayout>
      </c:layout>
      <c:scatterChart>
        <c:scatterStyle val="lineMarker"/>
        <c:varyColors val="0"/>
        <c:ser>
          <c:idx val="0"/>
          <c:order val="0"/>
          <c:tx>
            <c:v>Observations</c:v>
          </c:tx>
          <c:spPr>
            <a:ln>
              <a:noFill/>
            </a:ln>
          </c:spPr>
          <c:marker>
            <c:symbol val="square"/>
            <c:size val="5"/>
          </c:marker>
          <c:xVal>
            <c:numRef>
              <c:f>'Mortality rates'!$L$9:$L$25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'Mortality rates'!$J$9:$J$25</c:f>
              <c:numCache>
                <c:formatCode>0.0000_)</c:formatCode>
                <c:ptCount val="17"/>
                <c:pt idx="0">
                  <c:v>-2.5270416339178339</c:v>
                </c:pt>
                <c:pt idx="1">
                  <c:v>-2.2541976756331041</c:v>
                </c:pt>
                <c:pt idx="2">
                  <c:v>-1.9186395525820081</c:v>
                </c:pt>
                <c:pt idx="3">
                  <c:v>-1.5229085164858653</c:v>
                </c:pt>
                <c:pt idx="4">
                  <c:v>-1.127341285969687</c:v>
                </c:pt>
                <c:pt idx="5">
                  <c:v>-0.79506654606011895</c:v>
                </c:pt>
                <c:pt idx="6">
                  <c:v>-0.5544457691195992</c:v>
                </c:pt>
                <c:pt idx="7">
                  <c:v>-0.36355546006407491</c:v>
                </c:pt>
                <c:pt idx="8">
                  <c:v>-0.19921345167053436</c:v>
                </c:pt>
                <c:pt idx="9">
                  <c:v>-4.3265502099371078E-2</c:v>
                </c:pt>
                <c:pt idx="10">
                  <c:v>0.10965944335344807</c:v>
                </c:pt>
                <c:pt idx="11">
                  <c:v>0.27486590248640036</c:v>
                </c:pt>
                <c:pt idx="12">
                  <c:v>0.45615939304744868</c:v>
                </c:pt>
                <c:pt idx="13">
                  <c:v>0.66591931400872972</c:v>
                </c:pt>
                <c:pt idx="14">
                  <c:v>0.93265987259296534</c:v>
                </c:pt>
                <c:pt idx="15">
                  <c:v>1.2470175960567036</c:v>
                </c:pt>
                <c:pt idx="16">
                  <c:v>#N/A</c:v>
                </c:pt>
              </c:numCache>
            </c:numRef>
          </c:yVal>
          <c:smooth val="0"/>
          <c:extLst xmlns:c16r2="http://schemas.microsoft.com/office/drawing/2015/06/chart">
            <c:ext xmlns:c16="http://schemas.microsoft.com/office/drawing/2014/chart" uri="{C3380CC4-5D6E-409C-BE32-E72D297353CC}">
              <c16:uniqueId val="{00000000-E41F-4AED-80F8-C6B55FD0DBEF}"/>
            </c:ext>
          </c:extLst>
        </c:ser>
        <c:ser>
          <c:idx val="1"/>
          <c:order val="1"/>
          <c:tx>
            <c:v>Fit</c:v>
          </c:tx>
          <c:spPr>
            <a:ln>
              <a:solidFill>
                <a:srgbClr val="FF66FF"/>
              </a:solidFill>
              <a:prstDash val="solid"/>
            </a:ln>
          </c:spPr>
          <c:marker>
            <c:symbol val="none"/>
          </c:marker>
          <c:xVal>
            <c:numRef>
              <c:f>'Mortality rates'!$L$9:$L$25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'Mortality rates'!$M$9:$M$25</c:f>
              <c:numCache>
                <c:formatCode>0.0000_)</c:formatCode>
                <c:ptCount val="17"/>
                <c:pt idx="0">
                  <c:v>-2.0573905139058963</c:v>
                </c:pt>
                <c:pt idx="1">
                  <c:v>-1.7297349530502026</c:v>
                </c:pt>
                <c:pt idx="2">
                  <c:v>-1.5545417267831945</c:v>
                </c:pt>
                <c:pt idx="3">
                  <c:v>-1.3484535594199925</c:v>
                </c:pt>
                <c:pt idx="4">
                  <c:v>-1.074651317397191</c:v>
                </c:pt>
                <c:pt idx="5">
                  <c:v>-0.78289571846853201</c:v>
                </c:pt>
                <c:pt idx="6">
                  <c:v>-0.53863798202204294</c:v>
                </c:pt>
                <c:pt idx="7">
                  <c:v>-0.33436287816389465</c:v>
                </c:pt>
                <c:pt idx="8">
                  <c:v>-0.1719530742084697</c:v>
                </c:pt>
                <c:pt idx="9">
                  <c:v>-4.1003785532426923E-2</c:v>
                </c:pt>
                <c:pt idx="10">
                  <c:v>8.5353916816766406E-2</c:v>
                </c:pt>
                <c:pt idx="11">
                  <c:v>0.23133570807379022</c:v>
                </c:pt>
                <c:pt idx="12">
                  <c:v>0.42370749621935311</c:v>
                </c:pt>
                <c:pt idx="13">
                  <c:v>0.66610755355425211</c:v>
                </c:pt>
                <c:pt idx="14">
                  <c:v>0.97404457489564122</c:v>
                </c:pt>
                <c:pt idx="15">
                  <c:v>1.3964219733565988</c:v>
                </c:pt>
                <c:pt idx="16">
                  <c:v>1.9936635292469076</c:v>
                </c:pt>
              </c:numCache>
            </c:numRef>
          </c:yVal>
          <c:smooth val="0"/>
          <c:extLst xmlns:c16r2="http://schemas.microsoft.com/office/drawing/2015/06/chart">
            <c:ext xmlns:c16="http://schemas.microsoft.com/office/drawing/2014/chart" uri="{C3380CC4-5D6E-409C-BE32-E72D297353CC}">
              <c16:uniqueId val="{00000001-E41F-4AED-80F8-C6B55FD0DBEF}"/>
            </c:ext>
          </c:extLst>
        </c:ser>
        <c:dLbls>
          <c:showLegendKey val="0"/>
          <c:showVal val="0"/>
          <c:showCatName val="0"/>
          <c:showSerName val="0"/>
          <c:showPercent val="0"/>
          <c:showBubbleSize val="0"/>
        </c:dLbls>
        <c:axId val="224852224"/>
        <c:axId val="224989568"/>
      </c:scatterChart>
      <c:valAx>
        <c:axId val="224852224"/>
        <c:scaling>
          <c:orientation val="minMax"/>
        </c:scaling>
        <c:delete val="0"/>
        <c:axPos val="b"/>
        <c:title>
          <c:tx>
            <c:rich>
              <a:bodyPr/>
              <a:lstStyle/>
              <a:p>
                <a:pPr>
                  <a:defRPr/>
                </a:pPr>
                <a:r>
                  <a:rPr lang="en-US"/>
                  <a:t>Ys(x)</a:t>
                </a:r>
              </a:p>
            </c:rich>
          </c:tx>
          <c:overlay val="0"/>
        </c:title>
        <c:numFmt formatCode="0.00" sourceLinked="0"/>
        <c:majorTickMark val="out"/>
        <c:minorTickMark val="none"/>
        <c:tickLblPos val="low"/>
        <c:crossAx val="224989568"/>
        <c:crossesAt val="0"/>
        <c:crossBetween val="midCat"/>
      </c:valAx>
      <c:valAx>
        <c:axId val="224989568"/>
        <c:scaling>
          <c:orientation val="minMax"/>
        </c:scaling>
        <c:delete val="0"/>
        <c:axPos val="l"/>
        <c:majorGridlines>
          <c:spPr>
            <a:ln>
              <a:noFill/>
            </a:ln>
          </c:spPr>
        </c:majorGridlines>
        <c:title>
          <c:tx>
            <c:rich>
              <a:bodyPr rot="-5400000" vert="horz"/>
              <a:lstStyle/>
              <a:p>
                <a:pPr>
                  <a:defRPr/>
                </a:pPr>
                <a:r>
                  <a:rPr lang="en-US"/>
                  <a:t>Y(x)</a:t>
                </a:r>
              </a:p>
            </c:rich>
          </c:tx>
          <c:overlay val="0"/>
        </c:title>
        <c:numFmt formatCode="0.00" sourceLinked="0"/>
        <c:majorTickMark val="out"/>
        <c:minorTickMark val="none"/>
        <c:tickLblPos val="low"/>
        <c:crossAx val="224852224"/>
        <c:crossesAt val="0"/>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42229605020403"/>
          <c:y val="0.15722823340825595"/>
          <c:w val="0.75212009351544573"/>
          <c:h val="0.63414005192270861"/>
        </c:manualLayout>
      </c:layout>
      <c:scatterChart>
        <c:scatterStyle val="lineMarker"/>
        <c:varyColors val="0"/>
        <c:ser>
          <c:idx val="0"/>
          <c:order val="0"/>
          <c:tx>
            <c:v>Adjusted</c:v>
          </c:tx>
          <c:spPr>
            <a:ln>
              <a:noFill/>
            </a:ln>
          </c:spPr>
          <c:marker>
            <c:symbol val="square"/>
            <c:size val="5"/>
          </c:marker>
          <c:xVal>
            <c:numRef>
              <c:f>'Mortality rates'!$G$8:$G$24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'Mortality rates'!$F$8:$F$24</c:f>
              <c:numCache>
                <c:formatCode>0.0000</c:formatCode>
                <c:ptCount val="17"/>
                <c:pt idx="0">
                  <c:v>1.2725815746353704E-3</c:v>
                </c:pt>
                <c:pt idx="1">
                  <c:v>9.1859001622669333E-4</c:v>
                </c:pt>
                <c:pt idx="2">
                  <c:v>2.0734437062014124E-3</c:v>
                </c:pt>
                <c:pt idx="3">
                  <c:v>5.0273368349164774E-3</c:v>
                </c:pt>
                <c:pt idx="4">
                  <c:v>1.0657440269531158E-2</c:v>
                </c:pt>
                <c:pt idx="5">
                  <c:v>1.715027825520787E-2</c:v>
                </c:pt>
                <c:pt idx="6">
                  <c:v>1.9894996211875023E-2</c:v>
                </c:pt>
                <c:pt idx="7">
                  <c:v>2.1808232198766958E-2</c:v>
                </c:pt>
                <c:pt idx="8">
                  <c:v>2.3846749455380324E-2</c:v>
                </c:pt>
                <c:pt idx="9">
                  <c:v>2.7391161835354623E-2</c:v>
                </c:pt>
                <c:pt idx="10">
                  <c:v>3.1532411812170945E-2</c:v>
                </c:pt>
                <c:pt idx="11">
                  <c:v>3.9177043887829305E-2</c:v>
                </c:pt>
                <c:pt idx="12">
                  <c:v>4.867854341472596E-2</c:v>
                </c:pt>
                <c:pt idx="13">
                  <c:v>6.2715512525243253E-2</c:v>
                </c:pt>
                <c:pt idx="14">
                  <c:v>8.7212094698871201E-2</c:v>
                </c:pt>
                <c:pt idx="15">
                  <c:v>0.10991892881482793</c:v>
                </c:pt>
                <c:pt idx="16">
                  <c:v>0.16563633766747676</c:v>
                </c:pt>
              </c:numCache>
            </c:numRef>
          </c:yVal>
          <c:smooth val="0"/>
          <c:extLst xmlns:c16r2="http://schemas.microsoft.com/office/drawing/2015/06/chart">
            <c:ext xmlns:c16="http://schemas.microsoft.com/office/drawing/2014/chart" uri="{C3380CC4-5D6E-409C-BE32-E72D297353CC}">
              <c16:uniqueId val="{00000000-10E7-41B4-9BBC-C64544229921}"/>
            </c:ext>
          </c:extLst>
        </c:ser>
        <c:ser>
          <c:idx val="1"/>
          <c:order val="1"/>
          <c:tx>
            <c:v>Fitted</c:v>
          </c:tx>
          <c:spPr>
            <a:ln w="28575">
              <a:solidFill>
                <a:srgbClr val="FF00FF"/>
              </a:solidFill>
            </a:ln>
          </c:spPr>
          <c:marker>
            <c:symbol val="none"/>
          </c:marker>
          <c:xVal>
            <c:numRef>
              <c:f>'Mortality rates'!$G$8:$G$24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'Mortality rates'!$Q$8:$Q$24</c:f>
              <c:numCache>
                <c:formatCode>0.0000</c:formatCode>
                <c:ptCount val="17"/>
                <c:pt idx="0">
                  <c:v>3.2394537897495043E-3</c:v>
                </c:pt>
                <c:pt idx="1">
                  <c:v>2.9528448138803559E-3</c:v>
                </c:pt>
                <c:pt idx="2">
                  <c:v>2.5423631341051581E-3</c:v>
                </c:pt>
                <c:pt idx="3">
                  <c:v>4.3127351063204124E-3</c:v>
                </c:pt>
                <c:pt idx="4">
                  <c:v>9.0022335236406032E-3</c:v>
                </c:pt>
                <c:pt idx="5">
                  <c:v>1.58860729264594E-2</c:v>
                </c:pt>
                <c:pt idx="6">
                  <c:v>2.0647519220990805E-2</c:v>
                </c:pt>
                <c:pt idx="7">
                  <c:v>2.4093407846255636E-2</c:v>
                </c:pt>
                <c:pt idx="8">
                  <c:v>2.441635136734217E-2</c:v>
                </c:pt>
                <c:pt idx="9">
                  <c:v>2.3388902413135852E-2</c:v>
                </c:pt>
                <c:pt idx="10">
                  <c:v>2.5795254850507866E-2</c:v>
                </c:pt>
                <c:pt idx="11">
                  <c:v>3.3693242328910515E-2</c:v>
                </c:pt>
                <c:pt idx="12">
                  <c:v>5.034148001803327E-2</c:v>
                </c:pt>
                <c:pt idx="13">
                  <c:v>7.1688548682359729E-2</c:v>
                </c:pt>
                <c:pt idx="14">
                  <c:v>0.10077056463687141</c:v>
                </c:pt>
                <c:pt idx="15">
                  <c:v>0.14697935054959235</c:v>
                </c:pt>
                <c:pt idx="16">
                  <c:v>0.20810773603387986</c:v>
                </c:pt>
              </c:numCache>
            </c:numRef>
          </c:yVal>
          <c:smooth val="0"/>
          <c:extLst xmlns:c16r2="http://schemas.microsoft.com/office/drawing/2015/06/chart">
            <c:ext xmlns:c16="http://schemas.microsoft.com/office/drawing/2014/chart" uri="{C3380CC4-5D6E-409C-BE32-E72D297353CC}">
              <c16:uniqueId val="{00000001-10E7-41B4-9BBC-C64544229921}"/>
            </c:ext>
          </c:extLst>
        </c:ser>
        <c:dLbls>
          <c:showLegendKey val="0"/>
          <c:showVal val="0"/>
          <c:showCatName val="0"/>
          <c:showSerName val="0"/>
          <c:showPercent val="0"/>
          <c:showBubbleSize val="0"/>
        </c:dLbls>
        <c:axId val="225032064"/>
        <c:axId val="225033600"/>
      </c:scatterChart>
      <c:valAx>
        <c:axId val="225032064"/>
        <c:scaling>
          <c:orientation val="minMax"/>
          <c:max val="85"/>
          <c:min val="0"/>
        </c:scaling>
        <c:delete val="0"/>
        <c:axPos val="b"/>
        <c:numFmt formatCode="0" sourceLinked="0"/>
        <c:majorTickMark val="out"/>
        <c:minorTickMark val="none"/>
        <c:tickLblPos val="nextTo"/>
        <c:crossAx val="225033600"/>
        <c:crosses val="autoZero"/>
        <c:crossBetween val="midCat"/>
      </c:valAx>
      <c:valAx>
        <c:axId val="225033600"/>
        <c:scaling>
          <c:orientation val="minMax"/>
        </c:scaling>
        <c:delete val="0"/>
        <c:axPos val="l"/>
        <c:majorGridlines/>
        <c:title>
          <c:tx>
            <c:rich>
              <a:bodyPr rot="-5400000" vert="horz"/>
              <a:lstStyle/>
              <a:p>
                <a:pPr>
                  <a:defRPr/>
                </a:pPr>
                <a:r>
                  <a:rPr lang="en-US"/>
                  <a:t>5mx</a:t>
                </a:r>
              </a:p>
            </c:rich>
          </c:tx>
          <c:overlay val="0"/>
        </c:title>
        <c:numFmt formatCode="0.00" sourceLinked="0"/>
        <c:majorTickMark val="out"/>
        <c:minorTickMark val="none"/>
        <c:tickLblPos val="nextTo"/>
        <c:crossAx val="225032064"/>
        <c:crosses val="autoZero"/>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33" l="0.70000000000000062" r="0.70000000000000062" t="0.75000000000000233"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18</xdr:col>
      <xdr:colOff>63500</xdr:colOff>
      <xdr:row>0</xdr:row>
      <xdr:rowOff>0</xdr:rowOff>
    </xdr:from>
    <xdr:to>
      <xdr:col>23</xdr:col>
      <xdr:colOff>523875</xdr:colOff>
      <xdr:row>17</xdr:row>
      <xdr:rowOff>123825</xdr:rowOff>
    </xdr:to>
    <xdr:graphicFrame macro="">
      <xdr:nvGraphicFramePr>
        <xdr:cNvPr id="2" name="Chart 1">
          <a:extLst>
            <a:ext uri="{FF2B5EF4-FFF2-40B4-BE49-F238E27FC236}">
              <a16:creationId xmlns=""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63500</xdr:colOff>
      <xdr:row>18</xdr:row>
      <xdr:rowOff>12700</xdr:rowOff>
    </xdr:from>
    <xdr:to>
      <xdr:col>23</xdr:col>
      <xdr:colOff>552450</xdr:colOff>
      <xdr:row>33</xdr:row>
      <xdr:rowOff>12700</xdr:rowOff>
    </xdr:to>
    <xdr:graphicFrame macro="">
      <xdr:nvGraphicFramePr>
        <xdr:cNvPr id="3" name="Chart 2">
          <a:extLst>
            <a:ext uri="{FF2B5EF4-FFF2-40B4-BE49-F238E27FC236}">
              <a16:creationId xmlns=""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63500</xdr:colOff>
      <xdr:row>0</xdr:row>
      <xdr:rowOff>1</xdr:rowOff>
    </xdr:from>
    <xdr:to>
      <xdr:col>26</xdr:col>
      <xdr:colOff>19050</xdr:colOff>
      <xdr:row>15</xdr:row>
      <xdr:rowOff>1</xdr:rowOff>
    </xdr:to>
    <xdr:graphicFrame macro="">
      <xdr:nvGraphicFramePr>
        <xdr:cNvPr id="2" name="Chart 9">
          <a:extLst>
            <a:ext uri="{FF2B5EF4-FFF2-40B4-BE49-F238E27FC236}">
              <a16:creationId xmlns=""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19050</xdr:colOff>
      <xdr:row>15</xdr:row>
      <xdr:rowOff>19050</xdr:rowOff>
    </xdr:from>
    <xdr:to>
      <xdr:col>26</xdr:col>
      <xdr:colOff>47625</xdr:colOff>
      <xdr:row>30</xdr:row>
      <xdr:rowOff>76200</xdr:rowOff>
    </xdr:to>
    <xdr:graphicFrame macro="">
      <xdr:nvGraphicFramePr>
        <xdr:cNvPr id="3" name="Chart 2">
          <a:extLst>
            <a:ext uri="{FF2B5EF4-FFF2-40B4-BE49-F238E27FC236}">
              <a16:creationId xmlns=""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1536</xdr:colOff>
      <xdr:row>36</xdr:row>
      <xdr:rowOff>24300</xdr:rowOff>
    </xdr:to>
    <xdr:grpSp>
      <xdr:nvGrpSpPr>
        <xdr:cNvPr id="6" name="Group 5">
          <a:extLst>
            <a:ext uri="{FF2B5EF4-FFF2-40B4-BE49-F238E27FC236}">
              <a16:creationId xmlns="" xmlns:a16="http://schemas.microsoft.com/office/drawing/2014/main" id="{00000000-0008-0000-0400-000006000000}"/>
            </a:ext>
          </a:extLst>
        </xdr:cNvPr>
        <xdr:cNvGrpSpPr/>
      </xdr:nvGrpSpPr>
      <xdr:grpSpPr>
        <a:xfrm>
          <a:off x="0" y="0"/>
          <a:ext cx="9822869" cy="5739300"/>
          <a:chOff x="0" y="0"/>
          <a:chExt cx="9822869" cy="5739300"/>
        </a:xfrm>
      </xdr:grpSpPr>
      <xdr:graphicFrame macro="">
        <xdr:nvGraphicFramePr>
          <xdr:cNvPr id="3" name="Chart 2">
            <a:extLst>
              <a:ext uri="{FF2B5EF4-FFF2-40B4-BE49-F238E27FC236}">
                <a16:creationId xmlns="" xmlns:a16="http://schemas.microsoft.com/office/drawing/2014/main" id="{00000000-0008-0000-0400-000003000000}"/>
              </a:ext>
            </a:extLst>
          </xdr:cNvPr>
          <xdr:cNvGraphicFramePr>
            <a:graphicFrameLocks/>
          </xdr:cNvGraphicFramePr>
        </xdr:nvGraphicFramePr>
        <xdr:xfrm>
          <a:off x="0" y="0"/>
          <a:ext cx="4912202" cy="57393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5" name="Chart 4">
            <a:extLst>
              <a:ext uri="{FF2B5EF4-FFF2-40B4-BE49-F238E27FC236}">
                <a16:creationId xmlns="" xmlns:a16="http://schemas.microsoft.com/office/drawing/2014/main" id="{00000000-0008-0000-0400-000005000000}"/>
              </a:ext>
            </a:extLst>
          </xdr:cNvPr>
          <xdr:cNvGraphicFramePr>
            <a:graphicFrameLocks/>
          </xdr:cNvGraphicFramePr>
        </xdr:nvGraphicFramePr>
        <xdr:xfrm>
          <a:off x="4910667" y="0"/>
          <a:ext cx="4912202" cy="57393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0</xdr:col>
      <xdr:colOff>0</xdr:colOff>
      <xdr:row>37</xdr:row>
      <xdr:rowOff>0</xdr:rowOff>
    </xdr:from>
    <xdr:to>
      <xdr:col>16</xdr:col>
      <xdr:colOff>1536</xdr:colOff>
      <xdr:row>73</xdr:row>
      <xdr:rowOff>24300</xdr:rowOff>
    </xdr:to>
    <xdr:grpSp>
      <xdr:nvGrpSpPr>
        <xdr:cNvPr id="7" name="Group 6">
          <a:extLst>
            <a:ext uri="{FF2B5EF4-FFF2-40B4-BE49-F238E27FC236}">
              <a16:creationId xmlns="" xmlns:a16="http://schemas.microsoft.com/office/drawing/2014/main" id="{00000000-0008-0000-0400-000007000000}"/>
            </a:ext>
          </a:extLst>
        </xdr:cNvPr>
        <xdr:cNvGrpSpPr/>
      </xdr:nvGrpSpPr>
      <xdr:grpSpPr>
        <a:xfrm>
          <a:off x="0" y="5873750"/>
          <a:ext cx="9822869" cy="5739300"/>
          <a:chOff x="0" y="0"/>
          <a:chExt cx="9822869" cy="5739300"/>
        </a:xfrm>
      </xdr:grpSpPr>
      <xdr:graphicFrame macro="">
        <xdr:nvGraphicFramePr>
          <xdr:cNvPr id="8" name="Chart 7">
            <a:extLst>
              <a:ext uri="{FF2B5EF4-FFF2-40B4-BE49-F238E27FC236}">
                <a16:creationId xmlns="" xmlns:a16="http://schemas.microsoft.com/office/drawing/2014/main" id="{00000000-0008-0000-0400-000008000000}"/>
              </a:ext>
            </a:extLst>
          </xdr:cNvPr>
          <xdr:cNvGraphicFramePr>
            <a:graphicFrameLocks/>
          </xdr:cNvGraphicFramePr>
        </xdr:nvGraphicFramePr>
        <xdr:xfrm>
          <a:off x="0" y="0"/>
          <a:ext cx="4912202" cy="57393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9" name="Chart 8">
            <a:extLst>
              <a:ext uri="{FF2B5EF4-FFF2-40B4-BE49-F238E27FC236}">
                <a16:creationId xmlns="" xmlns:a16="http://schemas.microsoft.com/office/drawing/2014/main" id="{00000000-0008-0000-0400-000009000000}"/>
              </a:ext>
            </a:extLst>
          </xdr:cNvPr>
          <xdr:cNvGraphicFramePr>
            <a:graphicFrameLocks/>
          </xdr:cNvGraphicFramePr>
        </xdr:nvGraphicFramePr>
        <xdr:xfrm>
          <a:off x="4910667" y="0"/>
          <a:ext cx="4912202" cy="57393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garb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OBDOR~1\AppData\Local\Temp\XPgrpwise\Synthetic%20orphanhood%20method%20Keny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OBDOR~1\AppData\Local\Temp\XPgrpwise\AM_Orphanhood_OneCensus_AIDS%20Kenya_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emp\Gompertz_C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w Data"/>
      <sheetName val="El-Badry correction"/>
      <sheetName val="El-Badry (2)"/>
      <sheetName val="Adj. CEB 1, BLYR 1 (2)"/>
      <sheetName val="GOMP (2)"/>
      <sheetName val="Summary ASFRs &amp; TFRs (2)"/>
      <sheetName val="Deadkids correction to CEB"/>
      <sheetName val="Manipulations"/>
      <sheetName val="Adj. CEB 1, BLYR 1"/>
      <sheetName val="Summary ASFRs &amp; TFRs"/>
      <sheetName val="GOMP"/>
      <sheetName val="COMPARE"/>
    </sheetNames>
    <sheetDataSet>
      <sheetData sheetId="0"/>
      <sheetData sheetId="1"/>
      <sheetData sheetId="2"/>
      <sheetData sheetId="3"/>
      <sheetData sheetId="4"/>
      <sheetData sheetId="5"/>
      <sheetData sheetId="6"/>
      <sheetData sheetId="7">
        <row r="4">
          <cell r="V4">
            <v>0</v>
          </cell>
        </row>
        <row r="5">
          <cell r="V5">
            <v>2.828820313291569E-3</v>
          </cell>
        </row>
        <row r="6">
          <cell r="V6">
            <v>1.7220218111561159E-2</v>
          </cell>
        </row>
        <row r="7">
          <cell r="V7">
            <v>3.7969882467608018E-2</v>
          </cell>
        </row>
        <row r="8">
          <cell r="V8">
            <v>6.5031650686778519E-2</v>
          </cell>
        </row>
        <row r="9">
          <cell r="V9">
            <v>9.8023575185855361E-2</v>
          </cell>
        </row>
        <row r="10">
          <cell r="V10">
            <v>0.13739063721012457</v>
          </cell>
        </row>
        <row r="11">
          <cell r="V11">
            <v>0.18277562370487033</v>
          </cell>
        </row>
        <row r="26">
          <cell r="AA26">
            <v>36</v>
          </cell>
          <cell r="AB26">
            <v>0.23556002000000001</v>
          </cell>
          <cell r="AC26">
            <v>223</v>
          </cell>
        </row>
        <row r="27">
          <cell r="AA27">
            <v>37</v>
          </cell>
          <cell r="AB27">
            <v>0.35120604999999999</v>
          </cell>
          <cell r="AC27">
            <v>222</v>
          </cell>
        </row>
        <row r="28">
          <cell r="AA28">
            <v>38</v>
          </cell>
          <cell r="AB28">
            <v>0.25579874000000002</v>
          </cell>
          <cell r="AC28">
            <v>226</v>
          </cell>
        </row>
        <row r="29">
          <cell r="AA29">
            <v>39</v>
          </cell>
          <cell r="AB29">
            <v>0.36016730000000002</v>
          </cell>
          <cell r="AC29">
            <v>252</v>
          </cell>
        </row>
        <row r="30">
          <cell r="AA30">
            <v>40</v>
          </cell>
          <cell r="AB30">
            <v>0.39299674000000001</v>
          </cell>
          <cell r="AC30">
            <v>222</v>
          </cell>
        </row>
        <row r="31">
          <cell r="AA31">
            <v>41</v>
          </cell>
          <cell r="AB31">
            <v>0.44260072</v>
          </cell>
          <cell r="AC31">
            <v>172</v>
          </cell>
        </row>
        <row r="32">
          <cell r="AA32">
            <v>42</v>
          </cell>
          <cell r="AB32">
            <v>0.48064695000000002</v>
          </cell>
          <cell r="AC32">
            <v>195</v>
          </cell>
        </row>
        <row r="33">
          <cell r="AA33">
            <v>43</v>
          </cell>
          <cell r="AB33">
            <v>0.54062270999999995</v>
          </cell>
          <cell r="AC33">
            <v>160</v>
          </cell>
        </row>
        <row r="34">
          <cell r="AA34">
            <v>44</v>
          </cell>
          <cell r="AB34">
            <v>0.32306489999999999</v>
          </cell>
          <cell r="AC34">
            <v>162</v>
          </cell>
        </row>
        <row r="35">
          <cell r="AA35">
            <v>45</v>
          </cell>
          <cell r="AB35">
            <v>0.46572206999999999</v>
          </cell>
          <cell r="AC35">
            <v>176</v>
          </cell>
        </row>
        <row r="36">
          <cell r="AA36">
            <v>46</v>
          </cell>
          <cell r="AB36">
            <v>0.63649986000000003</v>
          </cell>
          <cell r="AC36">
            <v>126</v>
          </cell>
        </row>
        <row r="37">
          <cell r="AA37">
            <v>47</v>
          </cell>
          <cell r="AB37">
            <v>0.51730050000000005</v>
          </cell>
          <cell r="AC37">
            <v>151</v>
          </cell>
        </row>
        <row r="38">
          <cell r="AA38">
            <v>48</v>
          </cell>
          <cell r="AB38">
            <v>0.75751767000000003</v>
          </cell>
          <cell r="AC38">
            <v>122</v>
          </cell>
        </row>
        <row r="39">
          <cell r="AA39">
            <v>49</v>
          </cell>
          <cell r="AB39">
            <v>0.54258373999999998</v>
          </cell>
          <cell r="AC39">
            <v>93</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Graphs"/>
    </sheetNames>
    <sheetDataSet>
      <sheetData sheetId="0">
        <row r="11">
          <cell r="D11" t="str">
            <v>UN General</v>
          </cell>
        </row>
      </sheetData>
      <sheetData sheetId="1"/>
      <sheetData sheetId="2">
        <row r="1">
          <cell r="S1">
            <v>1999.65</v>
          </cell>
        </row>
        <row r="57">
          <cell r="D57">
            <v>26.750483870967741</v>
          </cell>
        </row>
      </sheetData>
      <sheetData sheetId="3">
        <row r="43">
          <cell r="C43">
            <v>32.96050811424012</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Charts"/>
    </sheetNames>
    <sheetDataSet>
      <sheetData sheetId="0">
        <row r="11">
          <cell r="D11" t="str">
            <v>Princeton South</v>
          </cell>
        </row>
      </sheetData>
      <sheetData sheetId="1"/>
      <sheetData sheetId="2">
        <row r="1">
          <cell r="T1">
            <v>1999.65</v>
          </cell>
        </row>
        <row r="43">
          <cell r="D43">
            <v>26.750483870967741</v>
          </cell>
        </row>
      </sheetData>
      <sheetData sheetId="3">
        <row r="31">
          <cell r="C31">
            <v>32.96050811424012</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MP"/>
      <sheetName val="COMPARE"/>
      <sheetName val="ADJUST"/>
      <sheetName val="Feeney adj. TFR"/>
    </sheetNames>
    <sheetDataSet>
      <sheetData sheetId="0">
        <row r="3">
          <cell r="V3" t="str">
            <v xml:space="preserve"> </v>
          </cell>
          <cell r="W3">
            <v>-2.4021090835736705</v>
          </cell>
          <cell r="X3" t="e">
            <v>#N/A</v>
          </cell>
          <cell r="Y3">
            <v>-2.4986293679400342</v>
          </cell>
        </row>
        <row r="4">
          <cell r="V4" t="str">
            <v xml:space="preserve">  F20</v>
          </cell>
          <cell r="W4">
            <v>-1.4501268260865627</v>
          </cell>
          <cell r="X4">
            <v>-1.507615229605147</v>
          </cell>
          <cell r="Y4">
            <v>-1.5444845080549436</v>
          </cell>
        </row>
        <row r="5">
          <cell r="V5" t="str">
            <v xml:space="preserve">  F25</v>
          </cell>
          <cell r="W5">
            <v>-0.74298121534953399</v>
          </cell>
          <cell r="X5">
            <v>-0.87023508247751102</v>
          </cell>
          <cell r="Y5">
            <v>-0.83573248629347074</v>
          </cell>
        </row>
        <row r="6">
          <cell r="V6" t="str">
            <v xml:space="preserve">  F30</v>
          </cell>
          <cell r="W6">
            <v>-3.8167221418934326E-2</v>
          </cell>
          <cell r="X6">
            <v>-0.16344409305232799</v>
          </cell>
          <cell r="Y6">
            <v>-0.12931737803388188</v>
          </cell>
        </row>
        <row r="7">
          <cell r="V7" t="str">
            <v xml:space="preserve">  F35</v>
          </cell>
          <cell r="W7">
            <v>0.83562685790156843</v>
          </cell>
          <cell r="X7">
            <v>0.77821183247006775</v>
          </cell>
          <cell r="Y7">
            <v>0.74646168488943454</v>
          </cell>
        </row>
        <row r="8">
          <cell r="V8" t="str">
            <v xml:space="preserve"> </v>
          </cell>
          <cell r="W8">
            <v>2.1649127615274719</v>
          </cell>
          <cell r="X8" t="e">
            <v>#N/A</v>
          </cell>
          <cell r="Y8">
            <v>2.0787673053852451</v>
          </cell>
        </row>
        <row r="9">
          <cell r="V9" t="str">
            <v xml:space="preserve"> </v>
          </cell>
          <cell r="W9">
            <v>4.4556107747849927</v>
          </cell>
          <cell r="X9" t="e">
            <v>#N/A</v>
          </cell>
          <cell r="Y9">
            <v>4.3746690595502917</v>
          </cell>
        </row>
        <row r="12">
          <cell r="V12" t="str">
            <v xml:space="preserve"> </v>
          </cell>
          <cell r="W12">
            <v>-2.6450203494436626</v>
          </cell>
          <cell r="X12" t="e">
            <v>#N/A</v>
          </cell>
          <cell r="Y12">
            <v>-2.4175489202337466</v>
          </cell>
        </row>
        <row r="13">
          <cell r="V13" t="str">
            <v xml:space="preserve">  P20</v>
          </cell>
          <cell r="W13">
            <v>-1.743792567240362</v>
          </cell>
          <cell r="X13">
            <v>-1.6111279326936219</v>
          </cell>
          <cell r="Y13">
            <v>-1.6445684703685801</v>
          </cell>
        </row>
        <row r="14">
          <cell r="V14" t="str">
            <v xml:space="preserve">  P25</v>
          </cell>
          <cell r="W14">
            <v>-1.0156961788944672</v>
          </cell>
          <cell r="X14">
            <v>-1.0220034711598767</v>
          </cell>
          <cell r="Y14">
            <v>-1.0200823139022515</v>
          </cell>
        </row>
        <row r="15">
          <cell r="V15" t="str">
            <v xml:space="preserve">  P30</v>
          </cell>
          <cell r="W15">
            <v>-0.33548833339317602</v>
          </cell>
          <cell r="X15">
            <v>-0.52730233551108063</v>
          </cell>
          <cell r="Y15">
            <v>-0.4366700214716176</v>
          </cell>
        </row>
        <row r="16">
          <cell r="V16" t="str">
            <v xml:space="preserve">  P35</v>
          </cell>
          <cell r="W16">
            <v>0.43909113247098358</v>
          </cell>
          <cell r="X16">
            <v>0.28679746912635884</v>
          </cell>
          <cell r="Y16">
            <v>0.2276845355042289</v>
          </cell>
        </row>
        <row r="17">
          <cell r="V17" t="str">
            <v xml:space="preserve"> </v>
          </cell>
          <cell r="W17">
            <v>1.5116837766574984</v>
          </cell>
          <cell r="X17" t="e">
            <v>#N/A</v>
          </cell>
          <cell r="Y17">
            <v>1.1476441295132076</v>
          </cell>
        </row>
        <row r="18">
          <cell r="V18" t="str">
            <v xml:space="preserve"> </v>
          </cell>
          <cell r="W18">
            <v>3.2103875700248783</v>
          </cell>
          <cell r="X18" t="e">
            <v>#N/A</v>
          </cell>
          <cell r="Y18">
            <v>2.6046174367215493</v>
          </cell>
        </row>
        <row r="19">
          <cell r="V19" t="str">
            <v xml:space="preserve"> </v>
          </cell>
          <cell r="W19">
            <v>6.0547232610015094</v>
          </cell>
          <cell r="Y19">
            <v>5.0441958933505049</v>
          </cell>
        </row>
        <row r="26">
          <cell r="Y26">
            <v>13.5</v>
          </cell>
          <cell r="Z26">
            <v>3.4942844948396688E-2</v>
          </cell>
          <cell r="AB26" t="str">
            <v>P</v>
          </cell>
          <cell r="AC26">
            <v>4.7745730018919647E-3</v>
          </cell>
          <cell r="AE26">
            <v>3.8700760144216373</v>
          </cell>
          <cell r="AF26" t="str">
            <v>shape:</v>
          </cell>
        </row>
        <row r="27">
          <cell r="Y27">
            <v>17.5</v>
          </cell>
          <cell r="Z27">
            <v>0.21084286445625874</v>
          </cell>
          <cell r="AB27" t="str">
            <v>P</v>
          </cell>
          <cell r="AC27">
            <v>0.21314937495649397</v>
          </cell>
        </row>
        <row r="28">
          <cell r="Y28">
            <v>22.5</v>
          </cell>
          <cell r="Z28">
            <v>0.83731857700906287</v>
          </cell>
          <cell r="AB28" t="str">
            <v>P</v>
          </cell>
          <cell r="AC28">
            <v>0.86191053201360268</v>
          </cell>
          <cell r="AE28">
            <v>3.8700760144216373</v>
          </cell>
          <cell r="AF28" t="str">
            <v>separate</v>
          </cell>
        </row>
        <row r="29">
          <cell r="Y29">
            <v>27.5</v>
          </cell>
          <cell r="Z29">
            <v>1.633351413218336</v>
          </cell>
          <cell r="AB29" t="str">
            <v>P</v>
          </cell>
          <cell r="AC29">
            <v>1.6565527948962453</v>
          </cell>
        </row>
        <row r="30">
          <cell r="Y30">
            <v>32.5</v>
          </cell>
          <cell r="Z30">
            <v>2.509503539898799</v>
          </cell>
          <cell r="AB30" t="str">
            <v>P</v>
          </cell>
          <cell r="AC30">
            <v>2.4327447877779402</v>
          </cell>
        </row>
        <row r="31">
          <cell r="Y31">
            <v>37.5</v>
          </cell>
          <cell r="Z31">
            <v>3.1888325557518113</v>
          </cell>
          <cell r="AB31" t="str">
            <v>P</v>
          </cell>
          <cell r="AC31">
            <v>3.1207792602208806</v>
          </cell>
        </row>
        <row r="32">
          <cell r="Y32">
            <v>42.5</v>
          </cell>
          <cell r="Z32">
            <v>3.7306010413349315</v>
          </cell>
          <cell r="AB32" t="str">
            <v>P</v>
          </cell>
          <cell r="AC32">
            <v>3.6391032315912129</v>
          </cell>
        </row>
        <row r="33">
          <cell r="Y33">
            <v>47.5</v>
          </cell>
          <cell r="Z33">
            <v>4.0716709951667305</v>
          </cell>
          <cell r="AB33" t="str">
            <v>P</v>
          </cell>
          <cell r="AC33">
            <v>3.8454467289171261</v>
          </cell>
        </row>
        <row r="35">
          <cell r="Y35">
            <v>14.5</v>
          </cell>
          <cell r="Z35">
            <v>5.8586610577897949E-3</v>
          </cell>
          <cell r="AB35" t="str">
            <v>F</v>
          </cell>
          <cell r="AC35">
            <v>1.6253744519433818E-3</v>
          </cell>
          <cell r="AE35">
            <v>2.8700760144216373</v>
          </cell>
          <cell r="AF35" t="str">
            <v>level:</v>
          </cell>
        </row>
        <row r="36">
          <cell r="Y36">
            <v>19.5</v>
          </cell>
          <cell r="Z36">
            <v>0.1626223251164173</v>
          </cell>
          <cell r="AB36" t="str">
            <v>F</v>
          </cell>
          <cell r="AC36">
            <v>0.15930721495654426</v>
          </cell>
        </row>
        <row r="37">
          <cell r="Y37">
            <v>24.5</v>
          </cell>
          <cell r="Z37">
            <v>0.53281715315856693</v>
          </cell>
          <cell r="AB37" t="str">
            <v>F</v>
          </cell>
          <cell r="AC37">
            <v>0.54574423789689863</v>
          </cell>
          <cell r="AE37">
            <v>2.8700760144216373</v>
          </cell>
          <cell r="AF37" t="str">
            <v>F 15 to 35</v>
          </cell>
        </row>
        <row r="38">
          <cell r="Y38">
            <v>29.5</v>
          </cell>
          <cell r="Z38">
            <v>0.94973188784006068</v>
          </cell>
          <cell r="AB38" t="str">
            <v>F</v>
          </cell>
          <cell r="AC38">
            <v>0.95388967737444674</v>
          </cell>
        </row>
        <row r="39">
          <cell r="Y39">
            <v>34.5</v>
          </cell>
          <cell r="Z39">
            <v>1.3100528095079462</v>
          </cell>
          <cell r="AB39" t="str">
            <v>F</v>
          </cell>
          <cell r="AC39">
            <v>1.3016641393600896</v>
          </cell>
        </row>
        <row r="40">
          <cell r="Y40">
            <v>39.5</v>
          </cell>
          <cell r="Z40">
            <v>1.5599895984919026</v>
          </cell>
          <cell r="AB40" t="str">
            <v>F</v>
          </cell>
          <cell r="AC40">
            <v>1.5587554791311002</v>
          </cell>
        </row>
        <row r="41">
          <cell r="Y41">
            <v>44.5</v>
          </cell>
          <cell r="Z41">
            <v>1.7054253960153094</v>
          </cell>
          <cell r="AB41" t="str">
            <v>F</v>
          </cell>
          <cell r="AC41">
            <v>1.688054517008271</v>
          </cell>
        </row>
        <row r="42">
          <cell r="Y42">
            <v>49.5</v>
          </cell>
          <cell r="Z42">
            <v>1.7816517240609606</v>
          </cell>
          <cell r="AB42" t="str">
            <v>F</v>
          </cell>
          <cell r="AC42">
            <v>1.7084519866900585</v>
          </cell>
        </row>
        <row r="44">
          <cell r="Y44">
            <v>13.504003814440011</v>
          </cell>
          <cell r="AA44" t="str">
            <v xml:space="preserve"> </v>
          </cell>
        </row>
        <row r="45">
          <cell r="Y45">
            <v>14.5</v>
          </cell>
          <cell r="AA45" t="str">
            <v xml:space="preserve"> </v>
          </cell>
        </row>
        <row r="46">
          <cell r="Y46">
            <v>17.94764765779551</v>
          </cell>
          <cell r="AA46" t="str">
            <v xml:space="preserve"> </v>
          </cell>
        </row>
        <row r="47">
          <cell r="Y47">
            <v>19.5</v>
          </cell>
          <cell r="AA47" t="str">
            <v xml:space="preserve"> </v>
          </cell>
        </row>
        <row r="48">
          <cell r="Y48">
            <v>22.410865210263967</v>
          </cell>
          <cell r="AA48" t="str">
            <v xml:space="preserve"> </v>
          </cell>
        </row>
        <row r="49">
          <cell r="Y49">
            <v>24.5</v>
          </cell>
          <cell r="AA49" t="str">
            <v xml:space="preserve"> </v>
          </cell>
          <cell r="AE49">
            <v>2.3700760144216373</v>
          </cell>
          <cell r="AF49" t="str">
            <v>P 15 to 35</v>
          </cell>
        </row>
        <row r="50">
          <cell r="Y50">
            <v>27.445027935971265</v>
          </cell>
          <cell r="AA50" t="str">
            <v xml:space="preserve"> </v>
          </cell>
        </row>
        <row r="51">
          <cell r="Y51">
            <v>29.5</v>
          </cell>
          <cell r="AA51" t="str">
            <v xml:space="preserve"> </v>
          </cell>
        </row>
        <row r="52">
          <cell r="Y52">
            <v>32.517785477812403</v>
          </cell>
          <cell r="AA52" t="str">
            <v xml:space="preserve"> </v>
          </cell>
        </row>
        <row r="53">
          <cell r="Y53">
            <v>34.5</v>
          </cell>
          <cell r="AA53" t="str">
            <v xml:space="preserve"> </v>
          </cell>
        </row>
        <row r="54">
          <cell r="Y54">
            <v>37.544235773557418</v>
          </cell>
          <cell r="AA54" t="str">
            <v xml:space="preserve"> </v>
          </cell>
        </row>
        <row r="55">
          <cell r="Y55">
            <v>39.5</v>
          </cell>
          <cell r="AA55" t="str">
            <v xml:space="preserve"> </v>
          </cell>
        </row>
        <row r="56">
          <cell r="Y56">
            <v>42.536611047768147</v>
          </cell>
          <cell r="AA56" t="str">
            <v xml:space="preserve"> </v>
          </cell>
        </row>
        <row r="57">
          <cell r="Y57">
            <v>44.5</v>
          </cell>
          <cell r="AA57" t="str">
            <v xml:space="preserve"> </v>
          </cell>
        </row>
        <row r="58">
          <cell r="Y58">
            <v>47.242548778134008</v>
          </cell>
          <cell r="AA58" t="str">
            <v xml:space="preserve"> </v>
          </cell>
        </row>
        <row r="59">
          <cell r="Y59">
            <v>49.5</v>
          </cell>
          <cell r="AA59" t="str">
            <v xml:space="preserve"> </v>
          </cell>
        </row>
        <row r="60">
          <cell r="Y60">
            <v>51.500000000000007</v>
          </cell>
          <cell r="AA60" t="str">
            <v xml:space="preserve"> </v>
          </cell>
        </row>
      </sheetData>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emographicestimation.iussp.org/content/generalized-growth-balance-metho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tabSelected="1" workbookViewId="0">
      <selection activeCell="D1" sqref="D1"/>
    </sheetView>
  </sheetViews>
  <sheetFormatPr defaultRowHeight="18.75" customHeight="1"/>
  <cols>
    <col min="1" max="1" width="7.7109375" style="3" customWidth="1"/>
    <col min="2" max="2" width="97.7109375" style="3" customWidth="1"/>
    <col min="3" max="3" width="28.42578125" style="3" customWidth="1"/>
    <col min="4" max="4" width="16.42578125" style="3" customWidth="1"/>
    <col min="5" max="16384" width="9.140625" style="3"/>
  </cols>
  <sheetData>
    <row r="1" spans="1:4" ht="18.75" customHeight="1">
      <c r="A1" s="112" t="s">
        <v>49</v>
      </c>
      <c r="B1" s="113"/>
      <c r="D1" s="110"/>
    </row>
    <row r="2" spans="1:4" ht="18.75" customHeight="1">
      <c r="A2" s="4"/>
      <c r="B2" s="5"/>
    </row>
    <row r="3" spans="1:4" ht="18.75" customHeight="1">
      <c r="A3" s="114" t="s">
        <v>46</v>
      </c>
      <c r="B3" s="114"/>
    </row>
    <row r="4" spans="1:4" ht="18.75" customHeight="1">
      <c r="A4" s="115" t="s">
        <v>103</v>
      </c>
      <c r="B4" s="115"/>
      <c r="D4" s="111"/>
    </row>
    <row r="6" spans="1:4" ht="81" customHeight="1">
      <c r="A6" s="116" t="s">
        <v>95</v>
      </c>
      <c r="B6" s="116"/>
    </row>
    <row r="7" spans="1:4" ht="18.75" customHeight="1" thickBot="1"/>
    <row r="8" spans="1:4" ht="18.75" customHeight="1" thickBot="1">
      <c r="A8" s="6" t="s">
        <v>47</v>
      </c>
      <c r="C8" s="117" t="s">
        <v>51</v>
      </c>
      <c r="D8" s="118"/>
    </row>
    <row r="9" spans="1:4" ht="18.75" customHeight="1">
      <c r="A9" s="108">
        <v>1</v>
      </c>
      <c r="B9" s="109" t="s">
        <v>108</v>
      </c>
      <c r="C9" s="11" t="s">
        <v>52</v>
      </c>
      <c r="D9" s="12" t="s">
        <v>38</v>
      </c>
    </row>
    <row r="10" spans="1:4" ht="19.5" customHeight="1">
      <c r="A10" s="9">
        <v>2</v>
      </c>
      <c r="B10" s="9" t="s">
        <v>96</v>
      </c>
      <c r="C10" s="13" t="s">
        <v>53</v>
      </c>
      <c r="D10" s="14" t="s">
        <v>41</v>
      </c>
    </row>
    <row r="11" spans="1:4" ht="31.5" customHeight="1">
      <c r="A11" s="7">
        <v>3</v>
      </c>
      <c r="B11" s="107" t="s">
        <v>97</v>
      </c>
      <c r="C11" s="13" t="s">
        <v>54</v>
      </c>
      <c r="D11" s="14" t="s">
        <v>66</v>
      </c>
    </row>
    <row r="12" spans="1:4" ht="18.75" customHeight="1">
      <c r="A12" s="7">
        <v>4</v>
      </c>
      <c r="B12" s="7" t="s">
        <v>98</v>
      </c>
      <c r="C12" s="17" t="s">
        <v>56</v>
      </c>
      <c r="D12" s="15">
        <v>37174</v>
      </c>
    </row>
    <row r="13" spans="1:4" ht="19.5" customHeight="1" thickBot="1">
      <c r="A13" s="7">
        <v>5</v>
      </c>
      <c r="B13" s="7" t="s">
        <v>99</v>
      </c>
      <c r="C13" s="18" t="s">
        <v>57</v>
      </c>
      <c r="D13" s="16">
        <v>39128</v>
      </c>
    </row>
    <row r="14" spans="1:4" ht="18.75" customHeight="1">
      <c r="A14" s="7">
        <v>6</v>
      </c>
      <c r="B14" s="7" t="s">
        <v>48</v>
      </c>
    </row>
    <row r="15" spans="1:4" ht="65.25" customHeight="1">
      <c r="A15" s="7">
        <v>7</v>
      </c>
      <c r="B15" s="8" t="s">
        <v>100</v>
      </c>
    </row>
    <row r="16" spans="1:4" ht="23.25" customHeight="1">
      <c r="A16" s="7">
        <v>9</v>
      </c>
      <c r="B16" s="8" t="s">
        <v>109</v>
      </c>
    </row>
    <row r="17" spans="1:2" ht="36" customHeight="1">
      <c r="A17" s="7">
        <v>10</v>
      </c>
      <c r="B17" s="8" t="s">
        <v>106</v>
      </c>
    </row>
    <row r="18" spans="1:2" ht="15.75">
      <c r="A18" s="7">
        <v>11</v>
      </c>
      <c r="B18" s="8" t="s">
        <v>104</v>
      </c>
    </row>
    <row r="19" spans="1:2" ht="33.75" customHeight="1">
      <c r="A19" s="7">
        <v>12</v>
      </c>
      <c r="B19" s="8" t="s">
        <v>105</v>
      </c>
    </row>
    <row r="20" spans="1:2" ht="18.75" customHeight="1">
      <c r="A20" s="7">
        <v>13</v>
      </c>
      <c r="B20" s="7" t="s">
        <v>107</v>
      </c>
    </row>
    <row r="21" spans="1:2" ht="18.75" customHeight="1">
      <c r="A21" s="7"/>
      <c r="B21" s="8"/>
    </row>
    <row r="23" spans="1:2" ht="18.75" customHeight="1">
      <c r="A23" s="7"/>
      <c r="B23" s="8"/>
    </row>
    <row r="24" spans="1:2" ht="18.75" customHeight="1">
      <c r="A24" s="7"/>
      <c r="B24" s="8"/>
    </row>
    <row r="25" spans="1:2" ht="18.75" customHeight="1">
      <c r="A25" s="7"/>
      <c r="B25" s="8"/>
    </row>
    <row r="26" spans="1:2" ht="18.75" customHeight="1">
      <c r="A26" s="7"/>
      <c r="B26" s="8"/>
    </row>
    <row r="27" spans="1:2" ht="18.75" customHeight="1">
      <c r="A27" s="7"/>
      <c r="B27" s="8"/>
    </row>
    <row r="28" spans="1:2" ht="18.75" customHeight="1">
      <c r="A28" s="9"/>
      <c r="B28" s="10"/>
    </row>
    <row r="29" spans="1:2" ht="18.75" customHeight="1">
      <c r="A29" s="9"/>
      <c r="B29" s="10"/>
    </row>
    <row r="30" spans="1:2" ht="18.75" customHeight="1">
      <c r="A30" s="9"/>
      <c r="B30" s="10"/>
    </row>
    <row r="31" spans="1:2" ht="18.75" customHeight="1">
      <c r="A31" s="9"/>
      <c r="B31" s="10"/>
    </row>
    <row r="32" spans="1:2" ht="18.75" customHeight="1">
      <c r="A32" s="9"/>
      <c r="B32" s="10"/>
    </row>
    <row r="33" spans="1:2" ht="18.75" customHeight="1">
      <c r="A33" s="9"/>
      <c r="B33" s="10"/>
    </row>
    <row r="34" spans="1:2" ht="18.75" customHeight="1">
      <c r="A34" s="9"/>
      <c r="B34" s="9"/>
    </row>
    <row r="35" spans="1:2" ht="18.75" customHeight="1">
      <c r="A35" s="9"/>
      <c r="B35" s="9"/>
    </row>
    <row r="36" spans="1:2" ht="18.75" customHeight="1">
      <c r="A36" s="9"/>
      <c r="B36" s="9"/>
    </row>
    <row r="37" spans="1:2" ht="18.75" customHeight="1">
      <c r="A37" s="9"/>
      <c r="B37" s="9"/>
    </row>
    <row r="38" spans="1:2" ht="18.75" customHeight="1">
      <c r="A38" s="9"/>
      <c r="B38" s="9"/>
    </row>
    <row r="39" spans="1:2" ht="18.75" customHeight="1">
      <c r="A39" s="9"/>
      <c r="B39" s="9"/>
    </row>
    <row r="40" spans="1:2" ht="18.75" customHeight="1">
      <c r="A40" s="9"/>
      <c r="B40" s="9"/>
    </row>
    <row r="41" spans="1:2" ht="18.75" customHeight="1">
      <c r="A41" s="9"/>
      <c r="B41" s="9"/>
    </row>
    <row r="42" spans="1:2" ht="18.75" customHeight="1">
      <c r="A42" s="9"/>
      <c r="B42" s="9"/>
    </row>
    <row r="43" spans="1:2" ht="18.75" customHeight="1">
      <c r="A43" s="9"/>
      <c r="B43" s="9"/>
    </row>
    <row r="44" spans="1:2" ht="18.75" customHeight="1">
      <c r="A44" s="9"/>
      <c r="B44" s="9"/>
    </row>
    <row r="45" spans="1:2" ht="18.75" customHeight="1">
      <c r="A45" s="9"/>
      <c r="B45" s="9"/>
    </row>
    <row r="46" spans="1:2" ht="18.75" customHeight="1">
      <c r="A46" s="9"/>
      <c r="B46" s="9"/>
    </row>
    <row r="47" spans="1:2" ht="18.75" customHeight="1">
      <c r="A47" s="9"/>
      <c r="B47" s="9"/>
    </row>
    <row r="48" spans="1:2" ht="18.75" customHeight="1">
      <c r="A48" s="9"/>
      <c r="B48" s="9"/>
    </row>
    <row r="49" spans="1:2" ht="18.75" customHeight="1">
      <c r="A49" s="9"/>
      <c r="B49" s="9"/>
    </row>
    <row r="50" spans="1:2" ht="18.75" customHeight="1">
      <c r="A50" s="9"/>
      <c r="B50" s="9"/>
    </row>
    <row r="51" spans="1:2" ht="18.75" customHeight="1">
      <c r="A51" s="9"/>
      <c r="B51" s="9"/>
    </row>
    <row r="52" spans="1:2" ht="18.75" customHeight="1">
      <c r="A52" s="9"/>
      <c r="B52" s="9"/>
    </row>
    <row r="53" spans="1:2" ht="18.75" customHeight="1">
      <c r="A53" s="9"/>
      <c r="B53" s="9"/>
    </row>
    <row r="54" spans="1:2" ht="18.75" customHeight="1">
      <c r="A54" s="9"/>
      <c r="B54" s="9"/>
    </row>
    <row r="55" spans="1:2" ht="18.75" customHeight="1">
      <c r="A55" s="9"/>
      <c r="B55" s="9"/>
    </row>
    <row r="56" spans="1:2" ht="18.75" customHeight="1">
      <c r="A56" s="9"/>
      <c r="B56" s="9"/>
    </row>
    <row r="57" spans="1:2" ht="18.75" customHeight="1">
      <c r="A57" s="9"/>
      <c r="B57" s="9"/>
    </row>
    <row r="58" spans="1:2" ht="18.75" customHeight="1">
      <c r="A58" s="9"/>
      <c r="B58" s="9"/>
    </row>
  </sheetData>
  <sheetProtection sheet="1" objects="1" scenarios="1" selectLockedCells="1"/>
  <mergeCells count="5">
    <mergeCell ref="A1:B1"/>
    <mergeCell ref="A3:B3"/>
    <mergeCell ref="A4:B4"/>
    <mergeCell ref="A6:B6"/>
    <mergeCell ref="C8:D8"/>
  </mergeCells>
  <dataValidations count="2">
    <dataValidation type="list" showInputMessage="1" showErrorMessage="1" sqref="D10">
      <formula1>"Males,Females"</formula1>
    </dataValidation>
    <dataValidation type="list" showInputMessage="1" showErrorMessage="1" sqref="D11">
      <formula1>"UN General,Princeton East,Princeton North,Princeton South,Princeton West,AIDS,Other"</formula1>
    </dataValidation>
  </dataValidations>
  <hyperlinks>
    <hyperlink ref="A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Q42"/>
  <sheetViews>
    <sheetView workbookViewId="0">
      <selection activeCell="I1" sqref="I1"/>
    </sheetView>
  </sheetViews>
  <sheetFormatPr defaultRowHeight="15"/>
  <cols>
    <col min="1" max="1" width="7.7109375" style="20" customWidth="1"/>
    <col min="2" max="2" width="12" style="20" customWidth="1"/>
    <col min="3" max="6" width="14.5703125" style="20" customWidth="1"/>
    <col min="7" max="7" width="12.5703125" style="20" customWidth="1"/>
    <col min="8" max="8" width="12.140625" style="20" customWidth="1"/>
    <col min="9" max="9" width="4.5703125" style="20" customWidth="1"/>
    <col min="10" max="10" width="7.5703125" style="20" customWidth="1"/>
    <col min="11" max="15" width="12" style="20" customWidth="1"/>
    <col min="16" max="16" width="11.85546875" style="20" customWidth="1"/>
    <col min="17" max="17" width="10.85546875" style="20" customWidth="1"/>
    <col min="18" max="16384" width="9.140625" style="20"/>
  </cols>
  <sheetData>
    <row r="1" spans="1:17" ht="18.75">
      <c r="A1" s="19" t="s">
        <v>58</v>
      </c>
      <c r="G1" s="21" t="s">
        <v>59</v>
      </c>
      <c r="H1" s="22"/>
      <c r="J1" s="19" t="s">
        <v>60</v>
      </c>
      <c r="P1" s="21" t="s">
        <v>61</v>
      </c>
      <c r="Q1" s="22"/>
    </row>
    <row r="2" spans="1:17" ht="33" customHeight="1">
      <c r="A2" s="23" t="s">
        <v>6</v>
      </c>
      <c r="B2" s="24" t="s">
        <v>62</v>
      </c>
      <c r="C2" s="24" t="s">
        <v>63</v>
      </c>
      <c r="D2" s="24" t="s">
        <v>64</v>
      </c>
      <c r="E2" s="24" t="s">
        <v>65</v>
      </c>
      <c r="F2" s="24" t="s">
        <v>55</v>
      </c>
      <c r="G2" s="24" t="s">
        <v>66</v>
      </c>
      <c r="H2" s="24" t="s">
        <v>67</v>
      </c>
      <c r="J2" s="23" t="s">
        <v>6</v>
      </c>
      <c r="K2" s="24" t="s">
        <v>62</v>
      </c>
      <c r="L2" s="24" t="s">
        <v>63</v>
      </c>
      <c r="M2" s="24" t="s">
        <v>64</v>
      </c>
      <c r="N2" s="24" t="s">
        <v>65</v>
      </c>
      <c r="O2" s="24" t="s">
        <v>55</v>
      </c>
      <c r="P2" s="24" t="s">
        <v>66</v>
      </c>
      <c r="Q2" s="23" t="s">
        <v>67</v>
      </c>
    </row>
    <row r="3" spans="1:17">
      <c r="A3" s="25">
        <v>5</v>
      </c>
      <c r="B3" s="26">
        <v>-1.0557703137725243</v>
      </c>
      <c r="C3" s="26">
        <v>-1.0034528162299363</v>
      </c>
      <c r="D3" s="26">
        <v>-1.061325256602174</v>
      </c>
      <c r="E3" s="26">
        <v>-0.90879111177777439</v>
      </c>
      <c r="F3" s="26">
        <v>-1.0842444395521329</v>
      </c>
      <c r="G3" s="27">
        <v>-0.85180455224953355</v>
      </c>
      <c r="H3" s="28"/>
      <c r="J3" s="25">
        <v>5</v>
      </c>
      <c r="K3" s="26">
        <v>-1.1183426521790116</v>
      </c>
      <c r="L3" s="26">
        <v>-1.0839281949744348</v>
      </c>
      <c r="M3" s="26">
        <v>-1.1185632260148939</v>
      </c>
      <c r="N3" s="26">
        <v>-0.97803104804351482</v>
      </c>
      <c r="O3" s="26">
        <v>-1.1443836734991739</v>
      </c>
      <c r="P3" s="26">
        <v>-0.79829676250861992</v>
      </c>
      <c r="Q3" s="28"/>
    </row>
    <row r="4" spans="1:17">
      <c r="A4" s="25">
        <v>10</v>
      </c>
      <c r="B4" s="26">
        <v>-1.0059690881890577</v>
      </c>
      <c r="C4" s="26">
        <v>-0.96210277111891918</v>
      </c>
      <c r="D4" s="26">
        <v>-0.97867737240738273</v>
      </c>
      <c r="E4" s="26">
        <v>-0.87426674682746675</v>
      </c>
      <c r="F4" s="26">
        <v>-1.0329081865332934</v>
      </c>
      <c r="G4" s="26">
        <v>-0.799205207567936</v>
      </c>
      <c r="H4" s="28"/>
      <c r="J4" s="25">
        <v>10</v>
      </c>
      <c r="K4" s="26">
        <v>-1.0743948523980273</v>
      </c>
      <c r="L4" s="26">
        <v>-1.0472539080439389</v>
      </c>
      <c r="M4" s="26">
        <v>-1.0393562968308907</v>
      </c>
      <c r="N4" s="26">
        <v>-0.94784307566733739</v>
      </c>
      <c r="O4" s="26">
        <v>-1.0968312103313975</v>
      </c>
      <c r="P4" s="26">
        <v>-0.73689617552188336</v>
      </c>
      <c r="Q4" s="28"/>
    </row>
    <row r="5" spans="1:17">
      <c r="A5" s="25">
        <v>15</v>
      </c>
      <c r="B5" s="26">
        <v>-0.9778828398588445</v>
      </c>
      <c r="C5" s="26">
        <v>-0.93688771389348002</v>
      </c>
      <c r="D5" s="26">
        <v>-0.93456378789298888</v>
      </c>
      <c r="E5" s="26">
        <v>-0.85272014880258951</v>
      </c>
      <c r="F5" s="26">
        <v>-0.99562585121052949</v>
      </c>
      <c r="G5" s="26">
        <v>-0.77885315149743439</v>
      </c>
      <c r="H5" s="28"/>
      <c r="J5" s="25">
        <v>15</v>
      </c>
      <c r="K5" s="26">
        <v>-1.046640904616448</v>
      </c>
      <c r="L5" s="26">
        <v>-1.0232404683298353</v>
      </c>
      <c r="M5" s="26">
        <v>-0.99810318323243907</v>
      </c>
      <c r="N5" s="26">
        <v>-0.92724294571284704</v>
      </c>
      <c r="O5" s="26">
        <v>-1.0631132391187417</v>
      </c>
      <c r="P5" s="26">
        <v>-0.69613571586652812</v>
      </c>
      <c r="Q5" s="28"/>
    </row>
    <row r="6" spans="1:17">
      <c r="A6" s="25">
        <v>20</v>
      </c>
      <c r="B6" s="26">
        <v>-0.93810586936643969</v>
      </c>
      <c r="C6" s="26">
        <v>-0.90144694160929184</v>
      </c>
      <c r="D6" s="26">
        <v>-0.88577608039760869</v>
      </c>
      <c r="E6" s="26">
        <v>-0.82207221968309652</v>
      </c>
      <c r="F6" s="26">
        <v>-0.94491044364009291</v>
      </c>
      <c r="G6" s="26">
        <v>-0.73999984529103391</v>
      </c>
      <c r="H6" s="28"/>
      <c r="J6" s="25">
        <v>20</v>
      </c>
      <c r="K6" s="26">
        <v>-1.0066773582389617</v>
      </c>
      <c r="L6" s="26">
        <v>-0.98210627496614655</v>
      </c>
      <c r="M6" s="26">
        <v>-0.9416333856114224</v>
      </c>
      <c r="N6" s="26">
        <v>-0.89806980739238718</v>
      </c>
      <c r="O6" s="26">
        <v>-1.0130422551600544</v>
      </c>
      <c r="P6" s="26">
        <v>-0.66544049854843723</v>
      </c>
      <c r="Q6" s="28"/>
    </row>
    <row r="7" spans="1:17">
      <c r="A7" s="25">
        <v>25</v>
      </c>
      <c r="B7" s="26">
        <v>-0.88761866143951096</v>
      </c>
      <c r="C7" s="26">
        <v>-0.85645781794940679</v>
      </c>
      <c r="D7" s="26">
        <v>-0.83063229603261535</v>
      </c>
      <c r="E7" s="26">
        <v>-0.78407707634718316</v>
      </c>
      <c r="F7" s="26">
        <v>-0.88412226434856211</v>
      </c>
      <c r="G7" s="26">
        <v>-0.66746727013803897</v>
      </c>
      <c r="H7" s="28"/>
      <c r="J7" s="25">
        <v>25</v>
      </c>
      <c r="K7" s="26">
        <v>-0.95393531432576628</v>
      </c>
      <c r="L7" s="26">
        <v>-0.92677804853722057</v>
      </c>
      <c r="M7" s="26">
        <v>-0.86920613351053932</v>
      </c>
      <c r="N7" s="26">
        <v>-0.85624317643298331</v>
      </c>
      <c r="O7" s="26">
        <v>-0.94848666240099744</v>
      </c>
      <c r="P7" s="26">
        <v>-0.61930998136655224</v>
      </c>
      <c r="Q7" s="28"/>
    </row>
    <row r="8" spans="1:17">
      <c r="A8" s="25">
        <v>30</v>
      </c>
      <c r="B8" s="26">
        <v>-0.83222308793731981</v>
      </c>
      <c r="C8" s="26">
        <v>-0.80848565605858569</v>
      </c>
      <c r="D8" s="26">
        <v>-0.77200338720246053</v>
      </c>
      <c r="E8" s="26">
        <v>-0.74309524259921955</v>
      </c>
      <c r="F8" s="26">
        <v>-0.82136257147134217</v>
      </c>
      <c r="G8" s="26">
        <v>-0.55497544474088145</v>
      </c>
      <c r="H8" s="28"/>
      <c r="J8" s="25">
        <v>30</v>
      </c>
      <c r="K8" s="26">
        <v>-0.89866730377103976</v>
      </c>
      <c r="L8" s="26">
        <v>-0.87581973706212179</v>
      </c>
      <c r="M8" s="26">
        <v>-0.80208481424719991</v>
      </c>
      <c r="N8" s="26">
        <v>-0.81703262635799434</v>
      </c>
      <c r="O8" s="26">
        <v>-0.88773038554625583</v>
      </c>
      <c r="P8" s="26">
        <v>-0.53826653643964251</v>
      </c>
      <c r="Q8" s="28"/>
    </row>
    <row r="9" spans="1:17">
      <c r="A9" s="25">
        <v>35</v>
      </c>
      <c r="B9" s="26">
        <v>-0.77161320305701064</v>
      </c>
      <c r="C9" s="26">
        <v>-0.75720799673579831</v>
      </c>
      <c r="D9" s="26">
        <v>-0.71174620737879146</v>
      </c>
      <c r="E9" s="26">
        <v>-0.70212800843649648</v>
      </c>
      <c r="F9" s="26">
        <v>-0.75642199010305966</v>
      </c>
      <c r="G9" s="26">
        <v>-0.43949301509733479</v>
      </c>
      <c r="H9" s="28"/>
      <c r="J9" s="25">
        <v>35</v>
      </c>
      <c r="K9" s="26">
        <v>-0.83892900424050876</v>
      </c>
      <c r="L9" s="26">
        <v>-0.82474303239272606</v>
      </c>
      <c r="M9" s="26">
        <v>-0.73732351213430469</v>
      </c>
      <c r="N9" s="26">
        <v>-0.77189439731086973</v>
      </c>
      <c r="O9" s="26">
        <v>-0.8259381775987652</v>
      </c>
      <c r="P9" s="26">
        <v>-0.42396950774757225</v>
      </c>
      <c r="Q9" s="28"/>
    </row>
    <row r="10" spans="1:17">
      <c r="A10" s="25">
        <v>40</v>
      </c>
      <c r="B10" s="26">
        <v>-0.70536613769800149</v>
      </c>
      <c r="C10" s="26">
        <v>-0.70143650532592283</v>
      </c>
      <c r="D10" s="26">
        <v>-0.6489531581506035</v>
      </c>
      <c r="E10" s="26">
        <v>-0.65777314927556685</v>
      </c>
      <c r="F10" s="26">
        <v>-0.68862800696556059</v>
      </c>
      <c r="G10" s="26">
        <v>-0.34752805546091936</v>
      </c>
      <c r="H10" s="28"/>
      <c r="J10" s="25">
        <v>40</v>
      </c>
      <c r="K10" s="26">
        <v>-0.76900214861344063</v>
      </c>
      <c r="L10" s="26">
        <v>-0.76681316903129526</v>
      </c>
      <c r="M10" s="26">
        <v>-0.67218441284437103</v>
      </c>
      <c r="N10" s="26">
        <v>-0.72231250461550289</v>
      </c>
      <c r="O10" s="26">
        <v>-0.75696780176204026</v>
      </c>
      <c r="P10" s="26">
        <v>-0.30537040538400972</v>
      </c>
      <c r="Q10" s="28"/>
    </row>
    <row r="11" spans="1:17">
      <c r="A11" s="25">
        <v>45</v>
      </c>
      <c r="B11" s="26">
        <v>-0.63225842771700302</v>
      </c>
      <c r="C11" s="26">
        <v>-0.64063233149904941</v>
      </c>
      <c r="D11" s="26">
        <v>-0.58010435644994485</v>
      </c>
      <c r="E11" s="26">
        <v>-0.60809129187599065</v>
      </c>
      <c r="F11" s="26">
        <v>-0.61631192568392912</v>
      </c>
      <c r="G11" s="26">
        <v>-0.2796717464607949</v>
      </c>
      <c r="H11" s="28"/>
      <c r="J11" s="25">
        <v>45</v>
      </c>
      <c r="K11" s="26">
        <v>-0.68452755415039701</v>
      </c>
      <c r="L11" s="26">
        <v>-0.69542221623109723</v>
      </c>
      <c r="M11" s="26">
        <v>-0.6004320886314537</v>
      </c>
      <c r="N11" s="26">
        <v>-0.66038885146608195</v>
      </c>
      <c r="O11" s="26">
        <v>-0.67555110779524841</v>
      </c>
      <c r="P11" s="26">
        <v>-0.19102306031916078</v>
      </c>
      <c r="Q11" s="28"/>
    </row>
    <row r="12" spans="1:17">
      <c r="A12" s="25">
        <v>50</v>
      </c>
      <c r="B12" s="26">
        <v>-0.54716064042354773</v>
      </c>
      <c r="C12" s="26">
        <v>-0.56974874560225386</v>
      </c>
      <c r="D12" s="26">
        <v>-0.50864167857923615</v>
      </c>
      <c r="E12" s="26">
        <v>-0.55207839286799509</v>
      </c>
      <c r="F12" s="26">
        <v>-0.53540369879947558</v>
      </c>
      <c r="G12" s="26">
        <v>-0.22679742576773457</v>
      </c>
      <c r="H12" s="28"/>
      <c r="J12" s="25">
        <v>50</v>
      </c>
      <c r="K12" s="26">
        <v>-0.58094867734309374</v>
      </c>
      <c r="L12" s="26">
        <v>-0.60294976503765141</v>
      </c>
      <c r="M12" s="26">
        <v>-0.52059834010621253</v>
      </c>
      <c r="N12" s="26">
        <v>-0.58383201720449152</v>
      </c>
      <c r="O12" s="26">
        <v>-0.57720150892943201</v>
      </c>
      <c r="P12" s="26">
        <v>-9.1258238415243206E-2</v>
      </c>
      <c r="Q12" s="28"/>
    </row>
    <row r="13" spans="1:17">
      <c r="A13" s="25">
        <v>55</v>
      </c>
      <c r="B13" s="26">
        <v>-0.44323137082095437</v>
      </c>
      <c r="C13" s="26">
        <v>-0.48057184541702924</v>
      </c>
      <c r="D13" s="26">
        <v>-0.42279162488953242</v>
      </c>
      <c r="E13" s="26">
        <v>-0.48008226256731529</v>
      </c>
      <c r="F13" s="26">
        <v>-0.43713086722588262</v>
      </c>
      <c r="G13" s="26">
        <v>-0.17320805457698965</v>
      </c>
      <c r="H13" s="28"/>
      <c r="J13" s="25">
        <v>55</v>
      </c>
      <c r="K13" s="26">
        <v>-0.45326106749569572</v>
      </c>
      <c r="L13" s="26">
        <v>-0.48163530200651361</v>
      </c>
      <c r="M13" s="26">
        <v>-0.4210143479136163</v>
      </c>
      <c r="N13" s="26">
        <v>-0.48460666195853785</v>
      </c>
      <c r="O13" s="26">
        <v>-0.45582055810755873</v>
      </c>
      <c r="P13" s="26">
        <v>-5.7787208801094525E-3</v>
      </c>
      <c r="Q13" s="28"/>
    </row>
    <row r="14" spans="1:17">
      <c r="A14" s="25">
        <v>60</v>
      </c>
      <c r="B14" s="26">
        <v>-0.31406112015068494</v>
      </c>
      <c r="C14" s="26">
        <v>-0.36529580454443744</v>
      </c>
      <c r="D14" s="26">
        <v>-0.32102416945414897</v>
      </c>
      <c r="E14" s="26">
        <v>-0.38856998615937</v>
      </c>
      <c r="F14" s="26">
        <v>-0.3186589915311997</v>
      </c>
      <c r="G14" s="26">
        <v>-0.11051999808174573</v>
      </c>
      <c r="H14" s="28"/>
      <c r="J14" s="25">
        <v>60</v>
      </c>
      <c r="K14" s="26">
        <v>-0.29911364237741156</v>
      </c>
      <c r="L14" s="26">
        <v>-0.33065389097350745</v>
      </c>
      <c r="M14" s="26">
        <v>-0.30682105927662073</v>
      </c>
      <c r="N14" s="26">
        <v>-0.35965748316759905</v>
      </c>
      <c r="O14" s="26">
        <v>-0.30741359919534794</v>
      </c>
      <c r="P14" s="26">
        <v>8.0454876803862097E-2</v>
      </c>
      <c r="Q14" s="28"/>
    </row>
    <row r="15" spans="1:17">
      <c r="A15" s="25">
        <v>65</v>
      </c>
      <c r="B15" s="26">
        <v>-0.15350037229977559</v>
      </c>
      <c r="C15" s="26">
        <v>-0.21177193364854202</v>
      </c>
      <c r="D15" s="26">
        <v>-0.18761837894537206</v>
      </c>
      <c r="E15" s="26">
        <v>-0.25906906882787523</v>
      </c>
      <c r="F15" s="26">
        <v>-0.16637525937102554</v>
      </c>
      <c r="G15" s="26">
        <v>-2.4564773576284834E-2</v>
      </c>
      <c r="H15" s="28"/>
      <c r="J15" s="25">
        <v>65</v>
      </c>
      <c r="K15" s="26">
        <v>-0.11199770547699364</v>
      </c>
      <c r="L15" s="26">
        <v>-0.14845486484458761</v>
      </c>
      <c r="M15" s="26">
        <v>-0.16058401337471645</v>
      </c>
      <c r="N15" s="26">
        <v>-0.20182323747925654</v>
      </c>
      <c r="O15" s="26">
        <v>-0.1262176157653675</v>
      </c>
      <c r="P15" s="26">
        <v>0.18406648298591774</v>
      </c>
      <c r="Q15" s="28"/>
    </row>
    <row r="16" spans="1:17">
      <c r="A16" s="25">
        <v>70</v>
      </c>
      <c r="B16" s="26">
        <v>4.7202694544060057E-2</v>
      </c>
      <c r="C16" s="26">
        <v>-6.4627267002444113E-3</v>
      </c>
      <c r="D16" s="26">
        <v>-1.046876480077538E-2</v>
      </c>
      <c r="E16" s="26">
        <v>-7.9751647450351681E-2</v>
      </c>
      <c r="F16" s="26">
        <v>2.5988333390229997E-2</v>
      </c>
      <c r="G16" s="26">
        <v>0.1003150483892048</v>
      </c>
      <c r="H16" s="28"/>
      <c r="J16" s="25">
        <v>70</v>
      </c>
      <c r="K16" s="26">
        <v>0.11350757351291885</v>
      </c>
      <c r="L16" s="26">
        <v>7.4350889929898981E-2</v>
      </c>
      <c r="M16" s="26">
        <v>2.5027307118656625E-2</v>
      </c>
      <c r="N16" s="26">
        <v>-3.6304814007426826E-3</v>
      </c>
      <c r="O16" s="26">
        <v>9.2839228680570429E-2</v>
      </c>
      <c r="P16" s="26">
        <v>0.32605808533447933</v>
      </c>
      <c r="Q16" s="28"/>
    </row>
    <row r="17" spans="1:17">
      <c r="A17" s="25">
        <v>75</v>
      </c>
      <c r="B17" s="26">
        <v>0.29831344083201977</v>
      </c>
      <c r="C17" s="26">
        <v>0.26683377074043363</v>
      </c>
      <c r="D17" s="26">
        <v>0.22405908607537503</v>
      </c>
      <c r="E17" s="26">
        <v>0.17544223413848195</v>
      </c>
      <c r="F17" s="26">
        <v>0.27789225951999852</v>
      </c>
      <c r="G17" s="26">
        <v>0.26437837247892709</v>
      </c>
      <c r="H17" s="28"/>
      <c r="J17" s="25">
        <v>75</v>
      </c>
      <c r="K17" s="26">
        <v>0.38394770191107502</v>
      </c>
      <c r="L17" s="26">
        <v>0.35688919667802921</v>
      </c>
      <c r="M17" s="26">
        <v>0.26393791547571011</v>
      </c>
      <c r="N17" s="26">
        <v>0.26264157768898094</v>
      </c>
      <c r="O17" s="26">
        <v>0.36516868997048274</v>
      </c>
      <c r="P17" s="26">
        <v>0.5118891879176225</v>
      </c>
      <c r="Q17" s="28"/>
    </row>
    <row r="18" spans="1:17">
      <c r="A18" s="25">
        <v>80</v>
      </c>
      <c r="B18" s="26">
        <v>0.61317544977380356</v>
      </c>
      <c r="C18" s="26">
        <v>0.63032567098022951</v>
      </c>
      <c r="D18" s="26">
        <v>0.53050000260347951</v>
      </c>
      <c r="E18" s="26">
        <v>0.52941084062316079</v>
      </c>
      <c r="F18" s="26">
        <v>0.60865330973735543</v>
      </c>
      <c r="G18" s="26">
        <v>0.47887517915207028</v>
      </c>
      <c r="H18" s="28"/>
      <c r="J18" s="25">
        <v>80</v>
      </c>
      <c r="K18" s="26">
        <v>0.71024327752276806</v>
      </c>
      <c r="L18" s="26">
        <v>0.72453107950166995</v>
      </c>
      <c r="M18" s="26">
        <v>0.57732480411031639</v>
      </c>
      <c r="N18" s="26">
        <v>0.63094192216713241</v>
      </c>
      <c r="O18" s="26">
        <v>0.71611699723844735</v>
      </c>
      <c r="P18" s="26">
        <v>0.75588193380852187</v>
      </c>
      <c r="Q18" s="28"/>
    </row>
    <row r="19" spans="1:17">
      <c r="A19" s="29">
        <v>85</v>
      </c>
      <c r="B19" s="30">
        <v>1.0181822931175846</v>
      </c>
      <c r="C19" s="30">
        <v>1.1331829930730626</v>
      </c>
      <c r="D19" s="30">
        <v>0.94458953171090765</v>
      </c>
      <c r="E19" s="30">
        <v>1.0331091244568076</v>
      </c>
      <c r="F19" s="30">
        <v>1.0566921142266263</v>
      </c>
      <c r="G19" s="30">
        <v>0.76832737327098732</v>
      </c>
      <c r="H19" s="31"/>
      <c r="J19" s="29">
        <v>85</v>
      </c>
      <c r="K19" s="30">
        <v>1.1175905321542541</v>
      </c>
      <c r="L19" s="30">
        <v>1.2272198084146826</v>
      </c>
      <c r="M19" s="30">
        <v>1.0013626443891026</v>
      </c>
      <c r="N19" s="30">
        <v>1.1510053247399854</v>
      </c>
      <c r="O19" s="30">
        <v>1.1877303063916866</v>
      </c>
      <c r="P19" s="30">
        <v>1.0995381024185025</v>
      </c>
      <c r="Q19" s="31"/>
    </row>
    <row r="21" spans="1:17" ht="15.75">
      <c r="A21" s="32" t="s">
        <v>68</v>
      </c>
      <c r="G21" s="33"/>
      <c r="H21" s="33"/>
    </row>
    <row r="22" spans="1:17">
      <c r="A22" s="34"/>
      <c r="B22" s="34"/>
    </row>
    <row r="23" spans="1:17" ht="15.75">
      <c r="A23" s="35"/>
      <c r="B23" s="36" t="str">
        <f>Introduction!D11</f>
        <v>AIDS</v>
      </c>
      <c r="C23" s="36"/>
      <c r="D23" s="36" t="s">
        <v>69</v>
      </c>
    </row>
    <row r="24" spans="1:17" ht="16.5">
      <c r="A24" s="37" t="s">
        <v>6</v>
      </c>
      <c r="B24" s="38" t="s">
        <v>70</v>
      </c>
      <c r="C24" s="38"/>
      <c r="D24" s="38" t="s">
        <v>71</v>
      </c>
    </row>
    <row r="25" spans="1:17" ht="16.5">
      <c r="A25" s="39"/>
      <c r="B25" s="40" t="s">
        <v>72</v>
      </c>
      <c r="C25" s="40"/>
      <c r="D25" s="40" t="s">
        <v>73</v>
      </c>
    </row>
    <row r="26" spans="1:17">
      <c r="A26" s="25">
        <v>5</v>
      </c>
      <c r="B26" s="41">
        <f>IF(Introduction!$D$10="Females",HLOOKUP(Introduction!D$11,$B$2:$H$19,ROW()-ROW(B$26)+2,FALSE),HLOOKUP(Introduction!D$11,$K$2:$Q$19,ROW()-ROW(B$26)+2,FALSE))</f>
        <v>-0.79829676250861992</v>
      </c>
      <c r="C26" s="41">
        <f>1/(1+EXP(2*B26))</f>
        <v>0.83154174464785968</v>
      </c>
      <c r="D26" s="41">
        <f>C26/C$26</f>
        <v>1</v>
      </c>
    </row>
    <row r="27" spans="1:17">
      <c r="A27" s="25">
        <v>10</v>
      </c>
      <c r="B27" s="42">
        <f>IF(Introduction!$D$10="Females",HLOOKUP(Introduction!D$11,$B$2:$H$19,ROW()-ROW(B$26)+2,FALSE),HLOOKUP(Introduction!D$11,$K$2:$Q$19,ROW()-ROW(B$26)+2,FALSE))</f>
        <v>-0.73689617552188336</v>
      </c>
      <c r="C27" s="42">
        <f>1/(1+EXP(2*B27))</f>
        <v>0.81363312049038983</v>
      </c>
      <c r="D27" s="42">
        <f>C27/C$26</f>
        <v>0.97846334922721911</v>
      </c>
    </row>
    <row r="28" spans="1:17">
      <c r="A28" s="25">
        <v>15</v>
      </c>
      <c r="B28" s="42">
        <f>IF(Introduction!$D$10="Females",HLOOKUP(Introduction!D$11,$B$2:$H$19,ROW()-ROW(B$26)+2,FALSE),HLOOKUP(Introduction!D$11,$K$2:$Q$19,ROW()-ROW(B$26)+2,FALSE))</f>
        <v>-0.69613571586652812</v>
      </c>
      <c r="C28" s="42">
        <f t="shared" ref="C28:C41" si="0">1/(1+EXP(2*B28))</f>
        <v>0.800954616712655</v>
      </c>
      <c r="D28" s="42">
        <f t="shared" ref="D28:D41" si="1">C28/C$26</f>
        <v>0.96321636510484787</v>
      </c>
    </row>
    <row r="29" spans="1:17">
      <c r="A29" s="25">
        <v>20</v>
      </c>
      <c r="B29" s="42">
        <f>IF(Introduction!$D$10="Females",HLOOKUP(Introduction!D$11,$B$2:$H$19,ROW()-ROW(B$26)+2,FALSE),HLOOKUP(Introduction!D$11,$K$2:$Q$19,ROW()-ROW(B$26)+2,FALSE))</f>
        <v>-0.66544049854843723</v>
      </c>
      <c r="C29" s="42">
        <f t="shared" si="0"/>
        <v>0.79098632469707553</v>
      </c>
      <c r="D29" s="42">
        <f t="shared" si="1"/>
        <v>0.95122864220369541</v>
      </c>
    </row>
    <row r="30" spans="1:17">
      <c r="A30" s="25">
        <v>25</v>
      </c>
      <c r="B30" s="42">
        <f>IF(Introduction!$D$10="Females",HLOOKUP(Introduction!D$11,$B$2:$H$19,ROW()-ROW(B$26)+2,FALSE),HLOOKUP(Introduction!D$11,$K$2:$Q$19,ROW()-ROW(B$26)+2,FALSE))</f>
        <v>-0.61930998136655224</v>
      </c>
      <c r="C30" s="42">
        <f t="shared" si="0"/>
        <v>0.77532370746025248</v>
      </c>
      <c r="D30" s="42">
        <f t="shared" si="1"/>
        <v>0.93239300666569136</v>
      </c>
    </row>
    <row r="31" spans="1:17">
      <c r="A31" s="25">
        <v>30</v>
      </c>
      <c r="B31" s="42">
        <f>IF(Introduction!$D$10="Females",HLOOKUP(Introduction!D$11,$B$2:$H$19,ROW()-ROW(B$26)+2,FALSE),HLOOKUP(Introduction!D$11,$K$2:$Q$19,ROW()-ROW(B$26)+2,FALSE))</f>
        <v>-0.53826653643964251</v>
      </c>
      <c r="C31" s="42">
        <f t="shared" si="0"/>
        <v>0.74583733907124128</v>
      </c>
      <c r="D31" s="42">
        <f t="shared" si="1"/>
        <v>0.89693312918052914</v>
      </c>
    </row>
    <row r="32" spans="1:17">
      <c r="A32" s="25">
        <v>35</v>
      </c>
      <c r="B32" s="42">
        <f>IF(Introduction!$D$10="Females",HLOOKUP(Introduction!D$11,$B$2:$H$19,ROW()-ROW(B$26)+2,FALSE),HLOOKUP(Introduction!D$11,$K$2:$Q$19,ROW()-ROW(B$26)+2,FALSE))</f>
        <v>-0.42396950774757225</v>
      </c>
      <c r="C32" s="42">
        <f t="shared" si="0"/>
        <v>0.70013462530491533</v>
      </c>
      <c r="D32" s="42">
        <f t="shared" si="1"/>
        <v>0.8419717107544703</v>
      </c>
    </row>
    <row r="33" spans="1:4">
      <c r="A33" s="25">
        <v>40</v>
      </c>
      <c r="B33" s="42">
        <f>IF(Introduction!$D$10="Females",HLOOKUP(Introduction!D$11,$B$2:$H$19,ROW()-ROW(B$26)+2,FALSE),HLOOKUP(Introduction!D$11,$K$2:$Q$19,ROW()-ROW(B$26)+2,FALSE))</f>
        <v>-0.30537040538400972</v>
      </c>
      <c r="C33" s="42">
        <f t="shared" si="0"/>
        <v>0.64810977250568147</v>
      </c>
      <c r="D33" s="42">
        <f t="shared" si="1"/>
        <v>0.77940737993874531</v>
      </c>
    </row>
    <row r="34" spans="1:4">
      <c r="A34" s="25">
        <v>45</v>
      </c>
      <c r="B34" s="42">
        <f>IF(Introduction!$D$10="Females",HLOOKUP(Introduction!D$11,$B$2:$H$19,ROW()-ROW(B$26)+2,FALSE),HLOOKUP(Introduction!D$11,$K$2:$Q$19,ROW()-ROW(B$26)+2,FALSE))</f>
        <v>-0.19102306031916078</v>
      </c>
      <c r="C34" s="42">
        <f t="shared" si="0"/>
        <v>0.59436650740924746</v>
      </c>
      <c r="D34" s="42">
        <f t="shared" si="1"/>
        <v>0.71477651150388022</v>
      </c>
    </row>
    <row r="35" spans="1:4">
      <c r="A35" s="25">
        <v>50</v>
      </c>
      <c r="B35" s="42">
        <f>IF(Introduction!$D$10="Females",HLOOKUP(Introduction!D$11,$B$2:$H$19,ROW()-ROW(B$26)+2,FALSE),HLOOKUP(Introduction!D$11,$K$2:$Q$19,ROW()-ROW(B$26)+2,FALSE))</f>
        <v>-9.1258238415243206E-2</v>
      </c>
      <c r="C35" s="42">
        <f t="shared" si="0"/>
        <v>0.5455028723080011</v>
      </c>
      <c r="D35" s="42">
        <f t="shared" si="1"/>
        <v>0.65601381508394385</v>
      </c>
    </row>
    <row r="36" spans="1:4">
      <c r="A36" s="25">
        <v>55</v>
      </c>
      <c r="B36" s="42">
        <f>IF(Introduction!$D$10="Females",HLOOKUP(Introduction!D$11,$B$2:$H$19,ROW()-ROW(B$26)+2,FALSE),HLOOKUP(Introduction!D$11,$K$2:$Q$19,ROW()-ROW(B$26)+2,FALSE))</f>
        <v>-5.7787208801094525E-3</v>
      </c>
      <c r="C36" s="42">
        <f t="shared" si="0"/>
        <v>0.50288932827842092</v>
      </c>
      <c r="D36" s="42">
        <f t="shared" si="1"/>
        <v>0.60476738722405798</v>
      </c>
    </row>
    <row r="37" spans="1:4">
      <c r="A37" s="25">
        <v>60</v>
      </c>
      <c r="B37" s="42">
        <f>IF(Introduction!$D$10="Females",HLOOKUP(Introduction!D$11,$B$2:$H$19,ROW()-ROW(B$26)+2,FALSE),HLOOKUP(Introduction!D$11,$K$2:$Q$19,ROW()-ROW(B$26)+2,FALSE))</f>
        <v>8.0454876803862097E-2</v>
      </c>
      <c r="C37" s="42">
        <f t="shared" si="0"/>
        <v>0.45985913468169998</v>
      </c>
      <c r="D37" s="42">
        <f t="shared" si="1"/>
        <v>0.55301990265857381</v>
      </c>
    </row>
    <row r="38" spans="1:4">
      <c r="A38" s="25">
        <v>65</v>
      </c>
      <c r="B38" s="42">
        <f>IF(Introduction!$D$10="Females",HLOOKUP(Introduction!D$11,$B$2:$H$19,ROW()-ROW(B$26)+2,FALSE),HLOOKUP(Introduction!D$11,$K$2:$Q$19,ROW()-ROW(B$26)+2,FALSE))</f>
        <v>0.18406648298591774</v>
      </c>
      <c r="C38" s="42">
        <f t="shared" si="0"/>
        <v>0.40899223972880094</v>
      </c>
      <c r="D38" s="42">
        <f t="shared" si="1"/>
        <v>0.49184811509613446</v>
      </c>
    </row>
    <row r="39" spans="1:4">
      <c r="A39" s="25">
        <v>70</v>
      </c>
      <c r="B39" s="42">
        <f>IF(Introduction!$D$10="Females",HLOOKUP(Introduction!D$11,$B$2:$H$19,ROW()-ROW(B$26)+2,FALSE),HLOOKUP(Introduction!D$11,$K$2:$Q$19,ROW()-ROW(B$26)+2,FALSE))</f>
        <v>0.32605808533447933</v>
      </c>
      <c r="C39" s="42">
        <f t="shared" si="0"/>
        <v>0.34251282167441455</v>
      </c>
      <c r="D39" s="42">
        <f t="shared" si="1"/>
        <v>0.41190093447378456</v>
      </c>
    </row>
    <row r="40" spans="1:4">
      <c r="A40" s="25">
        <v>75</v>
      </c>
      <c r="B40" s="42">
        <f>IF(Introduction!$D$10="Females",HLOOKUP(Introduction!D$11,$B$2:$H$19,ROW()-ROW(B$26)+2,FALSE),HLOOKUP(Introduction!D$11,$K$2:$Q$19,ROW()-ROW(B$26)+2,FALSE))</f>
        <v>0.5118891879176225</v>
      </c>
      <c r="C40" s="42">
        <f t="shared" si="0"/>
        <v>0.26429207243410291</v>
      </c>
      <c r="D40" s="42">
        <f t="shared" si="1"/>
        <v>0.31783379984852717</v>
      </c>
    </row>
    <row r="41" spans="1:4">
      <c r="A41" s="25">
        <v>80</v>
      </c>
      <c r="B41" s="42">
        <f>IF(Introduction!$D$10="Females",HLOOKUP(Introduction!D$11,$B$2:$H$19,ROW()-ROW(B$26)+2,FALSE),HLOOKUP(Introduction!D$11,$K$2:$Q$19,ROW()-ROW(B$26)+2,FALSE))</f>
        <v>0.75588193380852187</v>
      </c>
      <c r="C41" s="42">
        <f t="shared" si="0"/>
        <v>0.1806775351650009</v>
      </c>
      <c r="D41" s="42">
        <f t="shared" si="1"/>
        <v>0.21728017424009663</v>
      </c>
    </row>
    <row r="42" spans="1:4">
      <c r="A42" s="29">
        <v>85</v>
      </c>
      <c r="B42" s="43">
        <f>IF(Introduction!$D$10="Females",HLOOKUP(Introduction!D$11,$B$2:$H$19,ROW()-ROW(B$26)+2,FALSE),HLOOKUP(Introduction!D$11,$K$2:$Q$19,ROW()-ROW(B$26)+2,FALSE))</f>
        <v>1.0995381024185025</v>
      </c>
      <c r="C42" s="43">
        <f>1/(1+EXP(2*B42))</f>
        <v>9.9833476908001331E-2</v>
      </c>
      <c r="D42" s="43">
        <f>C42/C$26</f>
        <v>0.1200582863705522</v>
      </c>
    </row>
  </sheetData>
  <sheetProtection sheet="1" objects="1" scenarios="1"/>
  <dataValidations count="1">
    <dataValidation type="decimal" allowBlank="1" showInputMessage="1" showErrorMessage="1" error="Enter valid numeric values for the logits" sqref="H3:H19 Q3:Q19">
      <formula1>-2</formula1>
      <formula2>2</formula2>
    </dataValidation>
  </dataValidations>
  <pageMargins left="0.70866141732283472" right="0.70866141732283472" top="0.74803149606299213" bottom="0.74803149606299213" header="0.31496062992125984" footer="0.31496062992125984"/>
  <pageSetup paperSize="9" orientation="portrait" r:id="rId1"/>
  <headerFooter>
    <oddHeader xml:space="preserve">&amp;L&amp;"Cambria,Bold"&amp;14Tools for Demographic Estimation&amp;R&amp;"Cambria,Bold"&amp;14Orphanhood </oddHeader>
    <oddFooter>&amp;L&amp;"+,Regular"&amp;F&amp;R&amp;"+,Regular"&amp;D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5"/>
  <sheetViews>
    <sheetView zoomScaleNormal="100" workbookViewId="0">
      <selection activeCell="P1" sqref="P1"/>
    </sheetView>
  </sheetViews>
  <sheetFormatPr defaultRowHeight="12.75"/>
  <cols>
    <col min="1" max="1" width="9.28515625" style="1" bestFit="1" customWidth="1"/>
    <col min="2" max="2" width="6" style="1" customWidth="1"/>
    <col min="3" max="3" width="11.140625" style="1" customWidth="1"/>
    <col min="4" max="4" width="11" style="1" customWidth="1"/>
    <col min="5" max="5" width="11.5703125" style="1" customWidth="1"/>
    <col min="6" max="6" width="9.42578125" style="1" bestFit="1" customWidth="1"/>
    <col min="7" max="7" width="11.28515625" style="1" customWidth="1"/>
    <col min="8" max="8" width="11.42578125" style="1" customWidth="1"/>
    <col min="9" max="9" width="11.28515625" style="1" customWidth="1"/>
    <col min="10" max="10" width="9.42578125" style="1" customWidth="1"/>
    <col min="11" max="11" width="12.140625" style="1" customWidth="1"/>
    <col min="12" max="12" width="11.42578125" style="1" customWidth="1"/>
    <col min="13" max="15" width="9.85546875" style="1" bestFit="1" customWidth="1"/>
    <col min="16" max="16" width="10.42578125" style="1" customWidth="1"/>
    <col min="17" max="17" width="9.28515625" style="1" bestFit="1" customWidth="1"/>
    <col min="18" max="18" width="10.140625" style="1" customWidth="1"/>
    <col min="19" max="19" width="11.28515625" style="1" customWidth="1"/>
    <col min="20" max="20" width="11" style="1" customWidth="1"/>
    <col min="21" max="21" width="11.5703125" style="1" customWidth="1"/>
    <col min="22" max="22" width="11" style="1" customWidth="1"/>
    <col min="23" max="25" width="9.140625" style="1"/>
    <col min="26" max="28" width="9.28515625" style="1" bestFit="1" customWidth="1"/>
    <col min="29" max="16384" width="9.140625" style="1"/>
  </cols>
  <sheetData>
    <row r="1" spans="1:18">
      <c r="A1" s="1" t="s">
        <v>37</v>
      </c>
      <c r="C1" s="46" t="str">
        <f>Introduction!D9</f>
        <v>South Africa</v>
      </c>
      <c r="K1" s="57" t="s">
        <v>40</v>
      </c>
    </row>
    <row r="2" spans="1:18">
      <c r="B2" s="46"/>
      <c r="C2" s="47"/>
      <c r="E2" s="1" t="s">
        <v>39</v>
      </c>
      <c r="F2" s="46"/>
      <c r="G2" s="47">
        <f>YEAR(Introduction!D12)+YEARFRAC(DATE(YEAR(Introduction!D12),1,1),Introduction!D12,1)+YEARFRAC(Introduction!D12,Introduction!D13+1,1)/2</f>
        <v>2004.4496371685209</v>
      </c>
      <c r="H2" s="49"/>
      <c r="K2" s="57" t="s">
        <v>0</v>
      </c>
      <c r="L2" s="65">
        <v>5</v>
      </c>
    </row>
    <row r="3" spans="1:18">
      <c r="A3" s="1" t="s">
        <v>42</v>
      </c>
      <c r="C3" s="1" t="str">
        <f>Introduction!D10</f>
        <v>Males</v>
      </c>
      <c r="E3" s="1" t="s">
        <v>2</v>
      </c>
      <c r="G3" s="47">
        <f>YEARFRAC(Introduction!D12,Introduction!D13+1,1)</f>
        <v>5.3540688575899837</v>
      </c>
      <c r="K3" s="57" t="s">
        <v>3</v>
      </c>
      <c r="L3" s="66">
        <v>84</v>
      </c>
      <c r="M3" s="50" t="s">
        <v>50</v>
      </c>
      <c r="N3" s="51"/>
      <c r="O3" s="50">
        <f>MAX(B21:B24)+5</f>
        <v>85</v>
      </c>
    </row>
    <row r="5" spans="1:18">
      <c r="C5" s="48"/>
      <c r="D5" s="48"/>
      <c r="F5" s="53"/>
    </row>
    <row r="6" spans="1:18" ht="30" customHeight="1">
      <c r="A6" s="54" t="s">
        <v>6</v>
      </c>
      <c r="B6" s="54" t="s">
        <v>5</v>
      </c>
      <c r="C6" s="55" t="s">
        <v>74</v>
      </c>
      <c r="D6" s="55" t="s">
        <v>75</v>
      </c>
      <c r="E6" s="55" t="s">
        <v>76</v>
      </c>
      <c r="F6" s="55" t="s">
        <v>77</v>
      </c>
      <c r="G6" s="64" t="s">
        <v>9</v>
      </c>
      <c r="H6" s="64" t="s">
        <v>10</v>
      </c>
      <c r="I6" s="64" t="s">
        <v>11</v>
      </c>
      <c r="J6" s="64" t="s">
        <v>44</v>
      </c>
      <c r="K6" s="64" t="s">
        <v>12</v>
      </c>
      <c r="L6" s="64" t="s">
        <v>13</v>
      </c>
      <c r="M6" s="64" t="s">
        <v>101</v>
      </c>
      <c r="N6" s="64" t="s">
        <v>45</v>
      </c>
      <c r="O6" s="64" t="s">
        <v>87</v>
      </c>
      <c r="P6" s="70" t="s">
        <v>102</v>
      </c>
      <c r="Q6" s="64" t="s">
        <v>14</v>
      </c>
      <c r="R6" s="71" t="s">
        <v>88</v>
      </c>
    </row>
    <row r="7" spans="1:18">
      <c r="A7" s="56">
        <f>COLUMN()</f>
        <v>1</v>
      </c>
      <c r="B7" s="56">
        <f>COLUMN()</f>
        <v>2</v>
      </c>
      <c r="C7" s="56">
        <f>COLUMN()</f>
        <v>3</v>
      </c>
      <c r="D7" s="56">
        <f>COLUMN()</f>
        <v>4</v>
      </c>
      <c r="E7" s="56">
        <f>COLUMN()</f>
        <v>5</v>
      </c>
      <c r="F7" s="56">
        <f>COLUMN()</f>
        <v>6</v>
      </c>
      <c r="G7" s="56">
        <f>COLUMN()</f>
        <v>7</v>
      </c>
      <c r="H7" s="56">
        <f>COLUMN()</f>
        <v>8</v>
      </c>
      <c r="I7" s="56">
        <f>COLUMN()</f>
        <v>9</v>
      </c>
      <c r="J7" s="56">
        <f>COLUMN()</f>
        <v>10</v>
      </c>
      <c r="K7" s="56">
        <f>COLUMN()</f>
        <v>11</v>
      </c>
      <c r="L7" s="56">
        <f>COLUMN()</f>
        <v>12</v>
      </c>
      <c r="M7" s="56">
        <f>COLUMN()</f>
        <v>13</v>
      </c>
      <c r="N7" s="56">
        <f>COLUMN()</f>
        <v>14</v>
      </c>
      <c r="O7" s="56">
        <f>COLUMN()</f>
        <v>15</v>
      </c>
      <c r="P7" s="56">
        <f>COLUMN()</f>
        <v>16</v>
      </c>
      <c r="Q7" s="56">
        <f>COLUMN()</f>
        <v>17</v>
      </c>
      <c r="R7" s="56">
        <f>COLUMN()</f>
        <v>18</v>
      </c>
    </row>
    <row r="8" spans="1:18">
      <c r="A8" s="57" t="s">
        <v>17</v>
      </c>
      <c r="B8" s="1">
        <v>0</v>
      </c>
      <c r="C8" s="67">
        <v>2223006</v>
      </c>
      <c r="D8" s="67">
        <v>2505743.5</v>
      </c>
      <c r="E8" s="67">
        <v>197911.87671232875</v>
      </c>
      <c r="F8" s="67">
        <v>10605.138127410559</v>
      </c>
      <c r="G8" s="59">
        <f t="shared" ref="G8:H20" si="0">G9+C8</f>
        <v>21434045</v>
      </c>
      <c r="H8" s="59">
        <f t="shared" si="0"/>
        <v>23348678.829999998</v>
      </c>
      <c r="I8" s="59">
        <f t="shared" ref="I8:I19" si="1">I9+E8</f>
        <v>1568404.0273972605</v>
      </c>
      <c r="J8" s="59">
        <f t="shared" ref="J8:J19" si="2">J9+F8</f>
        <v>128945.721945814</v>
      </c>
      <c r="K8" s="59">
        <f>G$3*(G8*H8)^0.5</f>
        <v>119775275.09539694</v>
      </c>
      <c r="L8" s="59"/>
      <c r="M8" s="52"/>
      <c r="N8" s="45" t="e">
        <f>IF(L8="", NA(),(H8-G8-J8)/K8)</f>
        <v>#N/A</v>
      </c>
      <c r="O8" s="45">
        <v>0</v>
      </c>
      <c r="Q8" s="63">
        <f t="shared" ref="Q8:Q24" ca="1" si="3">Q$27+Q$32*O8</f>
        <v>-4.6749868107614431E-3</v>
      </c>
      <c r="R8" s="63"/>
    </row>
    <row r="9" spans="1:18">
      <c r="A9" s="57" t="s">
        <v>18</v>
      </c>
      <c r="B9" s="1">
        <v>5</v>
      </c>
      <c r="C9" s="67">
        <v>2425066</v>
      </c>
      <c r="D9" s="67">
        <v>2560641.9</v>
      </c>
      <c r="E9" s="67">
        <v>15566.490410958904</v>
      </c>
      <c r="F9" s="67">
        <v>2848.4857032874015</v>
      </c>
      <c r="G9" s="59">
        <f t="shared" si="0"/>
        <v>19211039</v>
      </c>
      <c r="H9" s="59">
        <f t="shared" si="0"/>
        <v>20842935.329999998</v>
      </c>
      <c r="I9" s="59">
        <f t="shared" si="1"/>
        <v>1370492.1506849318</v>
      </c>
      <c r="J9" s="59">
        <f t="shared" si="2"/>
        <v>118340.58381840344</v>
      </c>
      <c r="K9" s="59">
        <f t="shared" ref="K9:K25" si="4">G$3*(G9*H9)^0.5</f>
        <v>107136836.76576611</v>
      </c>
      <c r="L9" s="59">
        <f>G$3*(C8*D9)^0.5/5</f>
        <v>2554810.4810349294</v>
      </c>
      <c r="M9" s="45">
        <f>IF(L9="",NA(),L9/K9)</f>
        <v>2.384623774753147E-2</v>
      </c>
      <c r="N9" s="45">
        <f>IF(L9="", NA(),(H9-G9-J9)/K9)</f>
        <v>1.412731411410522E-2</v>
      </c>
      <c r="O9" s="45">
        <f t="shared" ref="O9:O23" si="5">IF(L9="",NA(),I9/K9)</f>
        <v>1.2791978856732972E-2</v>
      </c>
      <c r="P9" s="45">
        <f t="shared" ref="P9:P14" si="6">IF(L$2&lt;B10,M9-N9,NA())</f>
        <v>9.7189236334262498E-3</v>
      </c>
      <c r="Q9" s="63">
        <f t="shared" ca="1" si="3"/>
        <v>9.2775383001767429E-3</v>
      </c>
      <c r="R9" s="63">
        <f t="shared" ref="R9:R15" ca="1" si="7">IF(L$2&lt;B10,P9-Q9,NA())</f>
        <v>4.4138533324950685E-4</v>
      </c>
    </row>
    <row r="10" spans="1:18">
      <c r="A10" s="57" t="s">
        <v>19</v>
      </c>
      <c r="B10" s="1">
        <v>10</v>
      </c>
      <c r="C10" s="67">
        <v>2518985</v>
      </c>
      <c r="D10" s="67">
        <v>2452338.7999999998</v>
      </c>
      <c r="E10" s="67">
        <v>11207.109589041094</v>
      </c>
      <c r="F10" s="67">
        <v>5152.7988910692857</v>
      </c>
      <c r="G10" s="59">
        <f t="shared" si="0"/>
        <v>16785973</v>
      </c>
      <c r="H10" s="59">
        <f t="shared" si="0"/>
        <v>18282293.43</v>
      </c>
      <c r="I10" s="59">
        <f t="shared" si="1"/>
        <v>1354925.6602739729</v>
      </c>
      <c r="J10" s="59">
        <f t="shared" si="2"/>
        <v>115492.09811511604</v>
      </c>
      <c r="K10" s="59">
        <f t="shared" si="4"/>
        <v>93793458.448331416</v>
      </c>
      <c r="L10" s="59">
        <f t="shared" ref="L10:L20" si="8">G$3*(C9*D10)^0.5/5</f>
        <v>2611355.2893836582</v>
      </c>
      <c r="M10" s="45">
        <f t="shared" ref="M10:M20" si="9">IF(L10="",NA(),L10/K10)</f>
        <v>2.7841550280632756E-2</v>
      </c>
      <c r="N10" s="45">
        <f t="shared" ref="N10:N24" si="10">IF(L10="", NA(),(H10-G10-J10)/K10)</f>
        <v>1.4722011052034604E-2</v>
      </c>
      <c r="O10" s="45">
        <f t="shared" si="5"/>
        <v>1.4445843907337837E-2</v>
      </c>
      <c r="P10" s="45">
        <f t="shared" si="6"/>
        <v>1.3119539228598152E-2</v>
      </c>
      <c r="Q10" s="63">
        <f t="shared" ca="1" si="3"/>
        <v>1.1081449478197627E-2</v>
      </c>
      <c r="R10" s="63">
        <f t="shared" ca="1" si="7"/>
        <v>2.0380897504005246E-3</v>
      </c>
    </row>
    <row r="11" spans="1:18">
      <c r="A11" s="57" t="s">
        <v>20</v>
      </c>
      <c r="B11" s="1">
        <v>15</v>
      </c>
      <c r="C11" s="67">
        <v>2453156</v>
      </c>
      <c r="D11" s="67">
        <v>2553292.9</v>
      </c>
      <c r="E11" s="67">
        <v>25472.64383561644</v>
      </c>
      <c r="F11" s="67">
        <v>16573.503554241652</v>
      </c>
      <c r="G11" s="59">
        <f t="shared" si="0"/>
        <v>14266988</v>
      </c>
      <c r="H11" s="59">
        <f t="shared" si="0"/>
        <v>15829954.630000001</v>
      </c>
      <c r="I11" s="59">
        <f t="shared" si="1"/>
        <v>1343718.5506849317</v>
      </c>
      <c r="J11" s="59">
        <f t="shared" si="2"/>
        <v>110339.29922404676</v>
      </c>
      <c r="K11" s="59">
        <f t="shared" si="4"/>
        <v>80461835.464544386</v>
      </c>
      <c r="L11" s="59">
        <f>G$3*(C10*D11)^0.5/5</f>
        <v>2715670.3923254306</v>
      </c>
      <c r="M11" s="45">
        <f t="shared" si="9"/>
        <v>3.3751037080456542E-2</v>
      </c>
      <c r="N11" s="45">
        <f t="shared" si="10"/>
        <v>1.8053619115065506E-2</v>
      </c>
      <c r="O11" s="45">
        <f t="shared" si="5"/>
        <v>1.6700073307140042E-2</v>
      </c>
      <c r="P11" s="45">
        <f t="shared" si="6"/>
        <v>1.5697417965391036E-2</v>
      </c>
      <c r="Q11" s="63">
        <f t="shared" ca="1" si="3"/>
        <v>1.3540192778105503E-2</v>
      </c>
      <c r="R11" s="63">
        <f t="shared" ca="1" si="7"/>
        <v>2.157225187285533E-3</v>
      </c>
    </row>
    <row r="12" spans="1:18">
      <c r="A12" s="57" t="s">
        <v>21</v>
      </c>
      <c r="B12" s="1">
        <v>20</v>
      </c>
      <c r="C12" s="67">
        <v>2099417</v>
      </c>
      <c r="D12" s="67">
        <v>2362519</v>
      </c>
      <c r="E12" s="67">
        <v>54959.638356164389</v>
      </c>
      <c r="F12" s="67">
        <v>14802.770597702409</v>
      </c>
      <c r="G12" s="59">
        <f t="shared" si="0"/>
        <v>11813832</v>
      </c>
      <c r="H12" s="59">
        <f t="shared" si="0"/>
        <v>13276661.73</v>
      </c>
      <c r="I12" s="59">
        <f t="shared" si="1"/>
        <v>1318245.9068493152</v>
      </c>
      <c r="J12" s="59">
        <f t="shared" si="2"/>
        <v>93765.795669805113</v>
      </c>
      <c r="K12" s="59">
        <f>G$3*(G12*H12)^0.5</f>
        <v>67053861.4389496</v>
      </c>
      <c r="L12" s="59">
        <f t="shared" si="8"/>
        <v>2577888.8385023098</v>
      </c>
      <c r="M12" s="45">
        <f>IF(L12="",NA(),L12/K12)</f>
        <v>3.8445046760646216E-2</v>
      </c>
      <c r="N12" s="45">
        <f t="shared" si="10"/>
        <v>2.041737649332372E-2</v>
      </c>
      <c r="O12" s="45">
        <f t="shared" si="5"/>
        <v>1.9659507723496818E-2</v>
      </c>
      <c r="P12" s="45">
        <f t="shared" si="6"/>
        <v>1.8027670267322497E-2</v>
      </c>
      <c r="Q12" s="63">
        <f t="shared" ca="1" si="3"/>
        <v>1.676812048740273E-2</v>
      </c>
      <c r="R12" s="63">
        <f t="shared" ca="1" si="7"/>
        <v>1.2595497799197664E-3</v>
      </c>
    </row>
    <row r="13" spans="1:18">
      <c r="A13" s="57" t="s">
        <v>22</v>
      </c>
      <c r="B13" s="1">
        <v>25</v>
      </c>
      <c r="C13" s="67">
        <v>1899275</v>
      </c>
      <c r="D13" s="67">
        <v>2033165.3</v>
      </c>
      <c r="E13" s="67">
        <v>102802.11506849315</v>
      </c>
      <c r="F13" s="67">
        <v>4714.0127417495423</v>
      </c>
      <c r="G13" s="59">
        <f t="shared" si="0"/>
        <v>9714415</v>
      </c>
      <c r="H13" s="59">
        <f t="shared" si="0"/>
        <v>10914142.73</v>
      </c>
      <c r="I13" s="59">
        <f t="shared" si="1"/>
        <v>1263286.2684931508</v>
      </c>
      <c r="J13" s="59">
        <f t="shared" si="2"/>
        <v>78963.025072102697</v>
      </c>
      <c r="K13" s="59">
        <f t="shared" si="4"/>
        <v>55129885.825452194</v>
      </c>
      <c r="L13" s="59">
        <f t="shared" si="8"/>
        <v>2212328.6686175796</v>
      </c>
      <c r="M13" s="45">
        <f t="shared" si="9"/>
        <v>4.0129389631280508E-2</v>
      </c>
      <c r="N13" s="45">
        <f t="shared" si="10"/>
        <v>2.0329530673732443E-2</v>
      </c>
      <c r="O13" s="45">
        <f t="shared" si="5"/>
        <v>2.2914726732663045E-2</v>
      </c>
      <c r="P13" s="45">
        <f t="shared" si="6"/>
        <v>1.9799858957548065E-2</v>
      </c>
      <c r="Q13" s="63">
        <f t="shared" ca="1" si="3"/>
        <v>2.0318667707318543E-2</v>
      </c>
      <c r="R13" s="63">
        <f t="shared" ca="1" si="7"/>
        <v>-5.1880874977047742E-4</v>
      </c>
    </row>
    <row r="14" spans="1:18">
      <c r="A14" s="57" t="s">
        <v>23</v>
      </c>
      <c r="B14" s="1">
        <v>30</v>
      </c>
      <c r="C14" s="67">
        <v>1594624</v>
      </c>
      <c r="D14" s="67">
        <v>1875482.6</v>
      </c>
      <c r="E14" s="67">
        <v>145588.04383561647</v>
      </c>
      <c r="F14" s="67">
        <v>13330.725342395457</v>
      </c>
      <c r="G14" s="59">
        <f t="shared" si="0"/>
        <v>7815140</v>
      </c>
      <c r="H14" s="59">
        <f t="shared" si="0"/>
        <v>8880977.4299999997</v>
      </c>
      <c r="I14" s="59">
        <f t="shared" si="1"/>
        <v>1160484.1534246576</v>
      </c>
      <c r="J14" s="59">
        <f t="shared" si="2"/>
        <v>74249.012330353158</v>
      </c>
      <c r="K14" s="59">
        <f t="shared" si="4"/>
        <v>44604915.052005954</v>
      </c>
      <c r="L14" s="59">
        <f t="shared" si="8"/>
        <v>2020991.0647943269</v>
      </c>
      <c r="M14" s="45">
        <f t="shared" si="9"/>
        <v>4.5308707850648396E-2</v>
      </c>
      <c r="N14" s="45">
        <f t="shared" si="10"/>
        <v>2.2230474298931619E-2</v>
      </c>
      <c r="O14" s="45">
        <f t="shared" si="5"/>
        <v>2.6016956922160283E-2</v>
      </c>
      <c r="P14" s="45">
        <f t="shared" si="6"/>
        <v>2.3078233551716777E-2</v>
      </c>
      <c r="Q14" s="63">
        <f t="shared" ca="1" si="3"/>
        <v>2.3702346268989125E-2</v>
      </c>
      <c r="R14" s="63">
        <f t="shared" ca="1" si="7"/>
        <v>-6.2411271727234874E-4</v>
      </c>
    </row>
    <row r="15" spans="1:18">
      <c r="A15" s="57" t="s">
        <v>24</v>
      </c>
      <c r="B15" s="1">
        <v>35</v>
      </c>
      <c r="C15" s="67">
        <v>1441657</v>
      </c>
      <c r="D15" s="67">
        <v>1548185.2</v>
      </c>
      <c r="E15" s="67">
        <v>145899.95616438359</v>
      </c>
      <c r="F15" s="67">
        <v>9692.8689073678088</v>
      </c>
      <c r="G15" s="59">
        <f t="shared" si="0"/>
        <v>6220516</v>
      </c>
      <c r="H15" s="59">
        <f t="shared" si="0"/>
        <v>7005494.8300000001</v>
      </c>
      <c r="I15" s="59">
        <f t="shared" si="1"/>
        <v>1014896.1095890412</v>
      </c>
      <c r="J15" s="59">
        <f t="shared" si="2"/>
        <v>60918.286987957705</v>
      </c>
      <c r="K15" s="59">
        <f t="shared" si="4"/>
        <v>35344070.634101845</v>
      </c>
      <c r="L15" s="59">
        <f t="shared" si="8"/>
        <v>1682497.9810321652</v>
      </c>
      <c r="M15" s="45">
        <f t="shared" si="9"/>
        <v>4.7603401386619046E-2</v>
      </c>
      <c r="N15" s="45">
        <f t="shared" si="10"/>
        <v>2.0486054096820139E-2</v>
      </c>
      <c r="O15" s="45">
        <f t="shared" si="5"/>
        <v>2.8714748793247806E-2</v>
      </c>
      <c r="P15" s="45">
        <f t="shared" ref="P15:P19" si="11">IF(E15&gt;0,M15-N15,NA())</f>
        <v>2.7117347289798907E-2</v>
      </c>
      <c r="Q15" s="63">
        <f t="shared" ca="1" si="3"/>
        <v>2.6644894036383336E-2</v>
      </c>
      <c r="R15" s="63">
        <f t="shared" ca="1" si="7"/>
        <v>4.7245325341557093E-4</v>
      </c>
    </row>
    <row r="16" spans="1:18">
      <c r="A16" s="57" t="s">
        <v>25</v>
      </c>
      <c r="B16" s="1">
        <v>40</v>
      </c>
      <c r="C16" s="67">
        <v>1233813</v>
      </c>
      <c r="D16" s="67">
        <v>1306899.8</v>
      </c>
      <c r="E16" s="67">
        <v>135936.20821917808</v>
      </c>
      <c r="F16" s="67">
        <v>7463.9251799293243</v>
      </c>
      <c r="G16" s="59">
        <f t="shared" si="0"/>
        <v>4778859</v>
      </c>
      <c r="H16" s="59">
        <f t="shared" si="0"/>
        <v>5457309.6299999999</v>
      </c>
      <c r="I16" s="59">
        <f t="shared" si="1"/>
        <v>868996.15342465765</v>
      </c>
      <c r="J16" s="59">
        <f t="shared" si="2"/>
        <v>51225.418080589894</v>
      </c>
      <c r="K16" s="59">
        <f t="shared" si="4"/>
        <v>27342319.774447836</v>
      </c>
      <c r="L16" s="59">
        <f t="shared" si="8"/>
        <v>1469826.4764360285</v>
      </c>
      <c r="M16" s="45">
        <f t="shared" si="9"/>
        <v>5.375646574836794E-2</v>
      </c>
      <c r="N16" s="45">
        <f t="shared" si="10"/>
        <v>2.2939721907047902E-2</v>
      </c>
      <c r="O16" s="45">
        <f t="shared" si="5"/>
        <v>3.1782093128643711E-2</v>
      </c>
      <c r="P16" s="45">
        <f t="shared" si="11"/>
        <v>3.0816743841320039E-2</v>
      </c>
      <c r="Q16" s="63">
        <f t="shared" ca="1" si="3"/>
        <v>2.9990521741277434E-2</v>
      </c>
      <c r="R16" s="63">
        <f ca="1">P16-Q16</f>
        <v>8.2622210004260413E-4</v>
      </c>
    </row>
    <row r="17" spans="1:19">
      <c r="A17" s="57" t="s">
        <v>26</v>
      </c>
      <c r="B17" s="1">
        <v>45</v>
      </c>
      <c r="C17" s="67">
        <v>967744</v>
      </c>
      <c r="D17" s="67">
        <v>1104293.7</v>
      </c>
      <c r="E17" s="67">
        <v>121009.81643835617</v>
      </c>
      <c r="F17" s="67">
        <v>8719.168128147463</v>
      </c>
      <c r="G17" s="59">
        <f t="shared" si="0"/>
        <v>3545046</v>
      </c>
      <c r="H17" s="59">
        <f t="shared" si="0"/>
        <v>4150409.83</v>
      </c>
      <c r="I17" s="59">
        <f t="shared" si="1"/>
        <v>733059.94520547951</v>
      </c>
      <c r="J17" s="59">
        <f t="shared" si="2"/>
        <v>43761.492900660567</v>
      </c>
      <c r="K17" s="59">
        <f t="shared" si="4"/>
        <v>20537159.745055906</v>
      </c>
      <c r="L17" s="59">
        <f t="shared" si="8"/>
        <v>1249916.2552009742</v>
      </c>
      <c r="M17" s="45">
        <f t="shared" si="9"/>
        <v>6.0861203336643355E-2</v>
      </c>
      <c r="N17" s="45">
        <f t="shared" si="10"/>
        <v>2.7345667271957554E-2</v>
      </c>
      <c r="O17" s="45">
        <f t="shared" si="5"/>
        <v>3.569431967738166E-2</v>
      </c>
      <c r="P17" s="45">
        <f t="shared" si="11"/>
        <v>3.3515536064685797E-2</v>
      </c>
      <c r="Q17" s="63">
        <f t="shared" ca="1" si="3"/>
        <v>3.4257683200211102E-2</v>
      </c>
      <c r="R17" s="63">
        <f ca="1">P17-Q17</f>
        <v>-7.4214713552530481E-4</v>
      </c>
    </row>
    <row r="18" spans="1:19">
      <c r="A18" s="57" t="s">
        <v>27</v>
      </c>
      <c r="B18" s="1">
        <v>50</v>
      </c>
      <c r="C18" s="67">
        <v>769627</v>
      </c>
      <c r="D18" s="67">
        <v>888042.4</v>
      </c>
      <c r="E18" s="67">
        <v>111156.87397260274</v>
      </c>
      <c r="F18" s="67">
        <v>9412.8400233326829</v>
      </c>
      <c r="G18" s="59">
        <f t="shared" si="0"/>
        <v>2577302</v>
      </c>
      <c r="H18" s="59">
        <f t="shared" si="0"/>
        <v>3046116.13</v>
      </c>
      <c r="I18" s="59">
        <f t="shared" si="1"/>
        <v>612050.12876712333</v>
      </c>
      <c r="J18" s="59">
        <f t="shared" si="2"/>
        <v>35042.3247725131</v>
      </c>
      <c r="K18" s="59">
        <f t="shared" si="4"/>
        <v>15001677.875653654</v>
      </c>
      <c r="L18" s="59">
        <f t="shared" si="8"/>
        <v>992684.04693558509</v>
      </c>
      <c r="M18" s="45">
        <f t="shared" si="9"/>
        <v>6.6171534621911873E-2</v>
      </c>
      <c r="N18" s="45">
        <f t="shared" si="10"/>
        <v>2.8914885976285266E-2</v>
      </c>
      <c r="O18" s="45">
        <f t="shared" si="5"/>
        <v>4.079877823269519E-2</v>
      </c>
      <c r="P18" s="45">
        <f t="shared" si="11"/>
        <v>3.7256648645626611E-2</v>
      </c>
      <c r="Q18" s="63">
        <f t="shared" ca="1" si="3"/>
        <v>3.9825241352737996E-2</v>
      </c>
      <c r="R18" s="63">
        <f ca="1">P18-Q18</f>
        <v>-2.5685927071113848E-3</v>
      </c>
    </row>
    <row r="19" spans="1:19">
      <c r="A19" s="57" t="s">
        <v>28</v>
      </c>
      <c r="B19" s="1">
        <v>55</v>
      </c>
      <c r="C19" s="67">
        <v>552402</v>
      </c>
      <c r="D19" s="67">
        <v>708812.3</v>
      </c>
      <c r="E19" s="67">
        <v>96854.389041095885</v>
      </c>
      <c r="F19" s="67">
        <v>4640.0309342114269</v>
      </c>
      <c r="G19" s="59">
        <f t="shared" si="0"/>
        <v>1807675</v>
      </c>
      <c r="H19" s="59">
        <f t="shared" si="0"/>
        <v>2158073.73</v>
      </c>
      <c r="I19" s="59">
        <f t="shared" si="1"/>
        <v>500893.25479452056</v>
      </c>
      <c r="J19" s="59">
        <f t="shared" si="2"/>
        <v>25629.484749180418</v>
      </c>
      <c r="K19" s="59">
        <f t="shared" si="4"/>
        <v>10574924.301308339</v>
      </c>
      <c r="L19" s="59">
        <f t="shared" si="8"/>
        <v>790896.61746451643</v>
      </c>
      <c r="M19" s="45">
        <f t="shared" si="9"/>
        <v>7.478981361281857E-2</v>
      </c>
      <c r="N19" s="45">
        <f t="shared" si="10"/>
        <v>3.0711259579478862E-2</v>
      </c>
      <c r="O19" s="45">
        <f t="shared" si="5"/>
        <v>4.7366131475054585E-2</v>
      </c>
      <c r="P19" s="45">
        <f t="shared" si="11"/>
        <v>4.4078554033339712E-2</v>
      </c>
      <c r="Q19" s="63">
        <f t="shared" ca="1" si="3"/>
        <v>4.6988414623477991E-2</v>
      </c>
      <c r="R19" s="63">
        <f ca="1">P19-Q19</f>
        <v>-2.9098605901382787E-3</v>
      </c>
    </row>
    <row r="20" spans="1:19">
      <c r="A20" s="57" t="s">
        <v>29</v>
      </c>
      <c r="B20" s="1">
        <v>60</v>
      </c>
      <c r="C20" s="67">
        <v>444592</v>
      </c>
      <c r="D20" s="67">
        <v>491870.6</v>
      </c>
      <c r="E20" s="67">
        <v>89930.454794520541</v>
      </c>
      <c r="F20" s="67">
        <v>5081.1725716458714</v>
      </c>
      <c r="G20" s="59">
        <f t="shared" si="0"/>
        <v>1255273</v>
      </c>
      <c r="H20" s="59">
        <f t="shared" si="0"/>
        <v>1449261.43</v>
      </c>
      <c r="I20" s="59">
        <f>I21+E20</f>
        <v>404038.8657534247</v>
      </c>
      <c r="J20" s="59">
        <f>J21+F20</f>
        <v>20989.453814968991</v>
      </c>
      <c r="K20" s="59">
        <f t="shared" si="4"/>
        <v>7221483.3316749958</v>
      </c>
      <c r="L20" s="59">
        <f t="shared" si="8"/>
        <v>558170.65640522086</v>
      </c>
      <c r="M20" s="45">
        <f t="shared" si="9"/>
        <v>7.7293075503887546E-2</v>
      </c>
      <c r="N20" s="45">
        <f t="shared" si="10"/>
        <v>2.3956155299316391E-2</v>
      </c>
      <c r="O20" s="45">
        <f t="shared" si="5"/>
        <v>5.5949567034410008E-2</v>
      </c>
      <c r="P20" s="45">
        <f>IF(L$3&gt;59,M20-N20,NA())</f>
        <v>5.3336920204571155E-2</v>
      </c>
      <c r="Q20" s="63">
        <f t="shared" ca="1" si="3"/>
        <v>5.6350578329446836E-2</v>
      </c>
      <c r="R20" s="63">
        <f ca="1">IF(L$3&gt;60,P20-Q20,NA())</f>
        <v>-3.0136581248756816E-3</v>
      </c>
    </row>
    <row r="21" spans="1:19">
      <c r="A21" s="60" t="str">
        <f>IF(E21="","", IF(E22="","65+", "   65-69"))</f>
        <v xml:space="preserve">   65-69</v>
      </c>
      <c r="B21" s="1">
        <f>IF(E22="","",65)</f>
        <v>65</v>
      </c>
      <c r="C21" s="67">
        <v>304835</v>
      </c>
      <c r="D21" s="67">
        <v>394304.6</v>
      </c>
      <c r="E21" s="67">
        <v>82842.80273972603</v>
      </c>
      <c r="F21" s="67">
        <v>4922.1846512908869</v>
      </c>
      <c r="G21" s="59">
        <f t="shared" ref="G21:G23" si="12">IF(E21="",,G22+C21)</f>
        <v>810681</v>
      </c>
      <c r="H21" s="59">
        <f>IF(E21="",,H22+D21)</f>
        <v>957390.83</v>
      </c>
      <c r="I21" s="59">
        <f>IF(E21="",,I22+E21)</f>
        <v>314108.41095890413</v>
      </c>
      <c r="J21" s="59">
        <f t="shared" ref="J21:J24" si="13">IF(325="",,J22+F21)</f>
        <v>15908.281243323121</v>
      </c>
      <c r="K21" s="59">
        <f t="shared" si="4"/>
        <v>4716866.4623410115</v>
      </c>
      <c r="L21" s="59">
        <f>IF(E22="","",G$3*(C20*D21)^0.5/5)</f>
        <v>448343.30775723653</v>
      </c>
      <c r="M21" s="45">
        <f>IF(L21="",NA(),L21/K21)</f>
        <v>9.505109193503028E-2</v>
      </c>
      <c r="N21" s="45">
        <f t="shared" si="10"/>
        <v>2.7730602466909608E-2</v>
      </c>
      <c r="O21" s="45">
        <f t="shared" si="5"/>
        <v>6.6592601988356925E-2</v>
      </c>
      <c r="P21" s="45">
        <f>IF(L$3&gt;B21-1,M21-N21,NA())</f>
        <v>6.7320489468120664E-2</v>
      </c>
      <c r="Q21" s="63">
        <f t="shared" ca="1" si="3"/>
        <v>6.795919761459962E-2</v>
      </c>
      <c r="R21" s="63">
        <f ca="1">IF(L$3&gt;65,P21-Q21,NA())</f>
        <v>-6.3870814647895569E-4</v>
      </c>
    </row>
    <row r="22" spans="1:19">
      <c r="A22" s="60" t="str">
        <f>IF(E22="","", IF(E23="","70+", "   70-74"))</f>
        <v xml:space="preserve">   70-74</v>
      </c>
      <c r="B22" s="1">
        <f>IF(E23="","",70)</f>
        <v>70</v>
      </c>
      <c r="C22" s="67">
        <v>232604</v>
      </c>
      <c r="D22" s="67">
        <v>241976.3</v>
      </c>
      <c r="E22" s="67">
        <v>73036.315068493146</v>
      </c>
      <c r="F22" s="67">
        <v>4333.9498290688334</v>
      </c>
      <c r="G22" s="59">
        <f t="shared" si="12"/>
        <v>505846</v>
      </c>
      <c r="H22" s="59">
        <f t="shared" ref="H22:H25" si="14">IF(E22="",,H23+D22)</f>
        <v>563086.23</v>
      </c>
      <c r="I22" s="59">
        <f>IF(E22="",,I23+E22)</f>
        <v>231265.6082191781</v>
      </c>
      <c r="J22" s="59">
        <f t="shared" si="13"/>
        <v>10986.096592032234</v>
      </c>
      <c r="K22" s="59">
        <f t="shared" si="4"/>
        <v>2857462.6724365628</v>
      </c>
      <c r="L22" s="59">
        <f>IF(E23="","",G$3*(C21*D22)^0.5/5)</f>
        <v>290825.69765712332</v>
      </c>
      <c r="M22" s="45">
        <f t="shared" ref="M22:M24" si="15">IF(L22="",NA(),L22/K22)</f>
        <v>0.10177760166824359</v>
      </c>
      <c r="N22" s="45">
        <f t="shared" si="10"/>
        <v>1.6187134780146325E-2</v>
      </c>
      <c r="O22" s="45">
        <f t="shared" si="5"/>
        <v>8.0933903511669514E-2</v>
      </c>
      <c r="P22" s="45">
        <f>IF(L$3&gt;B22-1,M22-N22,NA())</f>
        <v>8.5590466888097266E-2</v>
      </c>
      <c r="Q22" s="63">
        <f t="shared" ca="1" si="3"/>
        <v>8.3601606961003078E-2</v>
      </c>
      <c r="R22" s="63">
        <f ca="1">IF(L$3&gt;70,P22-Q22,NA())</f>
        <v>1.9888599270941887E-3</v>
      </c>
    </row>
    <row r="23" spans="1:19">
      <c r="A23" s="60" t="str">
        <f>IF(E23="","", IF(E24="","75+", "   75-79"))</f>
        <v xml:space="preserve">   75-79</v>
      </c>
      <c r="B23" s="1">
        <f>IF(E24="","",75)</f>
        <v>75</v>
      </c>
      <c r="C23" s="67">
        <v>136466</v>
      </c>
      <c r="D23" s="67">
        <v>163112.35999999999</v>
      </c>
      <c r="E23" s="67">
        <v>63870.638356164389</v>
      </c>
      <c r="F23" s="67">
        <v>2980.3991583511752</v>
      </c>
      <c r="G23" s="59">
        <f t="shared" si="12"/>
        <v>273242</v>
      </c>
      <c r="H23" s="59">
        <f t="shared" si="14"/>
        <v>321109.93</v>
      </c>
      <c r="I23" s="59">
        <f>IF(E23="",,I24+E23)</f>
        <v>158229.29315068494</v>
      </c>
      <c r="J23" s="59">
        <f t="shared" si="13"/>
        <v>6652.1467629633999</v>
      </c>
      <c r="K23" s="59">
        <f t="shared" si="4"/>
        <v>1585931.9482121137</v>
      </c>
      <c r="L23" s="59">
        <f>IF(E24="","",G$3*(C22*D23)^0.5/5)</f>
        <v>208576.78695688138</v>
      </c>
      <c r="M23" s="45">
        <f t="shared" si="15"/>
        <v>0.13151685807957811</v>
      </c>
      <c r="N23" s="45">
        <f t="shared" si="10"/>
        <v>2.5988368090762558E-2</v>
      </c>
      <c r="O23" s="45">
        <f t="shared" si="5"/>
        <v>9.9770543956229224E-2</v>
      </c>
      <c r="P23" s="45">
        <f>IF(L$3&gt;B23-1,M23-N23,NA())</f>
        <v>0.10552848998881555</v>
      </c>
      <c r="Q23" s="63">
        <f t="shared" ca="1" si="3"/>
        <v>0.10414719273408307</v>
      </c>
      <c r="R23" s="63">
        <f ca="1">IF(L$3&gt;75,P23-Q23,NA())</f>
        <v>1.3812972547324748E-3</v>
      </c>
    </row>
    <row r="24" spans="1:19">
      <c r="A24" s="60" t="str">
        <f>IF(E24="","", IF(E25="","80+", "   80-84"))</f>
        <v xml:space="preserve">   80-84</v>
      </c>
      <c r="B24" s="1">
        <f>IF(E25="","",80)</f>
        <v>80</v>
      </c>
      <c r="C24" s="67">
        <v>90856</v>
      </c>
      <c r="D24" s="67">
        <v>87698.19</v>
      </c>
      <c r="E24" s="67">
        <v>48162.994520547945</v>
      </c>
      <c r="F24" s="67">
        <v>1662.3054081481939</v>
      </c>
      <c r="G24" s="59">
        <f>IF(E24="",,G25+C24)</f>
        <v>136776</v>
      </c>
      <c r="H24" s="59">
        <f t="shared" si="14"/>
        <v>157997.57</v>
      </c>
      <c r="I24" s="59">
        <f>IF(E24="",,I25+E24)</f>
        <v>94358.654794520553</v>
      </c>
      <c r="J24" s="59">
        <f t="shared" si="13"/>
        <v>3671.7476046122247</v>
      </c>
      <c r="K24" s="59">
        <f t="shared" si="4"/>
        <v>787071.35245074029</v>
      </c>
      <c r="L24" s="59">
        <f>IF(E25="","",G$3*(C23*D24)^0.5/5)</f>
        <v>117144.38965407445</v>
      </c>
      <c r="M24" s="45">
        <f t="shared" si="15"/>
        <v>0.14883579397130459</v>
      </c>
      <c r="N24" s="45">
        <f t="shared" si="10"/>
        <v>2.2297625673634407E-2</v>
      </c>
      <c r="O24" s="45">
        <f>IF(L24="",NA(),I24/K24)</f>
        <v>0.11988576956931753</v>
      </c>
      <c r="P24" s="45">
        <f>IF(L$3&gt;B24-1,M24-N24,NA())</f>
        <v>0.12653816829767017</v>
      </c>
      <c r="Q24" s="63">
        <f t="shared" ca="1" si="3"/>
        <v>0.12608736271263796</v>
      </c>
      <c r="R24" s="63">
        <f ca="1">IF(L$3&gt;80,P24-Q24,NA())</f>
        <v>4.5080558503221568E-4</v>
      </c>
    </row>
    <row r="25" spans="1:19">
      <c r="A25" s="60" t="str">
        <f>IF(E25="","","85+")</f>
        <v>85+</v>
      </c>
      <c r="C25" s="67">
        <v>45920</v>
      </c>
      <c r="D25" s="67">
        <v>70299.38</v>
      </c>
      <c r="E25" s="67">
        <v>46195.6602739726</v>
      </c>
      <c r="F25" s="67">
        <v>2009.4421964640305</v>
      </c>
      <c r="G25" s="59">
        <f>IF(E25="",,G26+C25)</f>
        <v>45920</v>
      </c>
      <c r="H25" s="59">
        <f t="shared" si="14"/>
        <v>70299.38</v>
      </c>
      <c r="I25" s="59">
        <f>IF(E25="",,I26+E25)</f>
        <v>46195.6602739726</v>
      </c>
      <c r="J25" s="59">
        <f>IF(325="",,J26+F25)</f>
        <v>2009.4421964640305</v>
      </c>
      <c r="K25" s="59">
        <f t="shared" si="4"/>
        <v>304201.00138967356</v>
      </c>
      <c r="L25" s="59"/>
      <c r="M25" s="52"/>
      <c r="N25" s="45"/>
    </row>
    <row r="26" spans="1:19">
      <c r="A26" s="57"/>
      <c r="C26" s="58"/>
      <c r="D26" s="58"/>
      <c r="E26" s="58"/>
      <c r="F26" s="58"/>
    </row>
    <row r="27" spans="1:19">
      <c r="A27" s="57" t="s">
        <v>30</v>
      </c>
      <c r="C27" s="58">
        <f>SUM(C8:C25)</f>
        <v>21434045</v>
      </c>
      <c r="D27" s="58">
        <f>SUM(D8:D25)</f>
        <v>23348678.830000002</v>
      </c>
      <c r="E27" s="58">
        <f>SUM(E8:E25)</f>
        <v>1568404.0273972603</v>
      </c>
      <c r="F27" s="58">
        <f>SUM(F8:F25)</f>
        <v>128945.72194581402</v>
      </c>
      <c r="G27" s="52"/>
      <c r="H27" s="52"/>
      <c r="I27" s="52"/>
      <c r="J27" s="52"/>
      <c r="K27" s="52"/>
      <c r="L27" s="45"/>
      <c r="M27" s="52"/>
      <c r="N27" s="52"/>
      <c r="P27" s="1" t="s">
        <v>35</v>
      </c>
      <c r="Q27" s="1">
        <f ca="1">AVERAGE(INDIRECT(ADDRESS(ROW(P8)+L2/5,P7)):INDIRECT(ADDRESS(ROW(P8)+L3/5,P7)))-AVERAGE(INDIRECT(ADDRESS(ROW(O8)+L2/5,O7)):INDIRECT(ADDRESS(ROW(O8)+L3/5,O7)))*Q32</f>
        <v>-4.6749868107614431E-3</v>
      </c>
    </row>
    <row r="28" spans="1:19">
      <c r="L28" s="45"/>
      <c r="P28" s="1" t="s">
        <v>31</v>
      </c>
      <c r="Q28" s="1">
        <f ca="1">EXP(G3*Q27)</f>
        <v>0.97528045685256992</v>
      </c>
      <c r="R28" s="61"/>
    </row>
    <row r="29" spans="1:19">
      <c r="E29" s="52"/>
      <c r="F29" s="52"/>
      <c r="L29" s="45"/>
      <c r="P29" s="1" t="s">
        <v>32</v>
      </c>
      <c r="Q29" s="1">
        <f ca="1">IF(Q28&gt;1,1,Q28)</f>
        <v>0.97528045685256992</v>
      </c>
      <c r="S29" s="62"/>
    </row>
    <row r="30" spans="1:19">
      <c r="C30" s="52"/>
      <c r="D30" s="52"/>
      <c r="E30" s="52"/>
      <c r="F30" s="52"/>
      <c r="L30" s="45"/>
      <c r="P30" s="1" t="s">
        <v>33</v>
      </c>
      <c r="Q30" s="1">
        <f t="shared" ref="Q30" ca="1" si="16">Q29/Q28</f>
        <v>1</v>
      </c>
      <c r="S30" s="62"/>
    </row>
    <row r="31" spans="1:19">
      <c r="C31" s="45"/>
      <c r="E31" s="45"/>
      <c r="L31" s="45"/>
      <c r="P31" s="1" t="s">
        <v>34</v>
      </c>
      <c r="Q31" s="1">
        <f t="shared" ref="Q31" ca="1" si="17">Q29*Q30</f>
        <v>0.97528045685256992</v>
      </c>
    </row>
    <row r="32" spans="1:19">
      <c r="C32" s="45"/>
      <c r="E32" s="45"/>
      <c r="L32" s="45"/>
      <c r="M32" s="45"/>
      <c r="O32" s="45"/>
      <c r="P32" s="1" t="s">
        <v>36</v>
      </c>
      <c r="Q32" s="1">
        <f ca="1">STDEV(INDIRECT(ADDRESS(ROW(P8)+L2/5,P7)):INDIRECT(ADDRESS(ROW(P8)+L3/5,P7)))/STDEV(INDIRECT(ADDRESS(ROW(O8)+L2/5,O7)):INDIRECT(ADDRESS(ROW(O8)+L3/5,O7)))</f>
        <v>1.0907245288006686</v>
      </c>
    </row>
    <row r="33" spans="2:18">
      <c r="C33" s="45"/>
      <c r="E33" s="45"/>
      <c r="L33" s="45"/>
      <c r="M33" s="45"/>
      <c r="O33" s="45"/>
      <c r="P33" s="68" t="s">
        <v>86</v>
      </c>
      <c r="Q33" s="69">
        <f ca="1">SQRT(Q31)/Q32</f>
        <v>0.90541916081143825</v>
      </c>
    </row>
    <row r="34" spans="2:18">
      <c r="B34" s="45"/>
      <c r="C34" s="45"/>
      <c r="D34" s="45"/>
      <c r="E34" s="45"/>
      <c r="L34" s="45"/>
    </row>
    <row r="35" spans="2:18">
      <c r="L35" s="45"/>
      <c r="Q35" s="2"/>
    </row>
    <row r="36" spans="2:18">
      <c r="L36" s="45"/>
    </row>
    <row r="37" spans="2:18">
      <c r="L37" s="45"/>
      <c r="Q37" s="104"/>
    </row>
    <row r="38" spans="2:18">
      <c r="L38" s="45"/>
      <c r="Q38" s="104"/>
    </row>
    <row r="39" spans="2:18">
      <c r="L39" s="45"/>
      <c r="Q39" s="45"/>
      <c r="R39" s="45"/>
    </row>
    <row r="40" spans="2:18">
      <c r="L40" s="45"/>
    </row>
    <row r="41" spans="2:18">
      <c r="L41" s="45"/>
    </row>
    <row r="42" spans="2:18">
      <c r="L42" s="45"/>
    </row>
    <row r="43" spans="2:18">
      <c r="L43" s="45"/>
    </row>
    <row r="44" spans="2:18">
      <c r="L44" s="45"/>
    </row>
    <row r="45" spans="2:18">
      <c r="L45" s="45"/>
    </row>
  </sheetData>
  <sheetProtection sheet="1" objects="1" scenarios="1"/>
  <protectedRanges>
    <protectedRange sqref="L2:L3" name="Range2"/>
    <protectedRange sqref="C8:F25" name="Range1"/>
  </protectedRanges>
  <pageMargins left="0.75" right="0.75" top="1" bottom="1" header="0.5" footer="0.5"/>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8"/>
  <sheetViews>
    <sheetView zoomScaleNormal="100" workbookViewId="0">
      <selection activeCell="Q1" sqref="Q1"/>
    </sheetView>
  </sheetViews>
  <sheetFormatPr defaultRowHeight="12.75"/>
  <cols>
    <col min="1" max="1" width="9.28515625" style="44" bestFit="1" customWidth="1"/>
    <col min="2" max="3" width="11.85546875" style="44" customWidth="1"/>
    <col min="4" max="4" width="11.28515625" style="44" customWidth="1"/>
    <col min="5" max="5" width="11.42578125" style="44" customWidth="1"/>
    <col min="6" max="6" width="9.28515625" style="44" bestFit="1" customWidth="1"/>
    <col min="7" max="7" width="6.7109375" style="44" customWidth="1"/>
    <col min="8" max="9" width="9.28515625" style="44" bestFit="1" customWidth="1"/>
    <col min="10" max="10" width="9.7109375" style="44" bestFit="1" customWidth="1"/>
    <col min="11" max="11" width="9.85546875" style="44" customWidth="1"/>
    <col min="12" max="12" width="9.7109375" style="44" bestFit="1" customWidth="1"/>
    <col min="13" max="13" width="9.140625" style="44" customWidth="1"/>
    <col min="14" max="14" width="9.7109375" style="44" bestFit="1" customWidth="1"/>
    <col min="15" max="15" width="10.140625" style="44" customWidth="1"/>
    <col min="16" max="16" width="9.28515625" style="44" bestFit="1" customWidth="1"/>
    <col min="17" max="17" width="10.28515625" style="44" customWidth="1"/>
    <col min="18" max="18" width="5.85546875" style="44" customWidth="1"/>
    <col min="19" max="16384" width="9.140625" style="44"/>
  </cols>
  <sheetData>
    <row r="1" spans="1:31">
      <c r="A1" s="4" t="s">
        <v>37</v>
      </c>
      <c r="B1" s="4" t="str">
        <f>Introduction!D9</f>
        <v>South Africa</v>
      </c>
      <c r="C1" s="4"/>
      <c r="D1" s="4"/>
      <c r="E1" s="4"/>
      <c r="F1" s="4"/>
      <c r="G1" s="4"/>
      <c r="H1" s="4"/>
      <c r="I1" s="4"/>
      <c r="J1" s="72"/>
      <c r="K1" s="4"/>
      <c r="L1" s="4"/>
      <c r="M1" s="4"/>
      <c r="N1" s="4"/>
      <c r="O1" s="73" t="s">
        <v>43</v>
      </c>
      <c r="P1" s="74"/>
      <c r="Q1" s="74"/>
      <c r="R1" s="4"/>
    </row>
    <row r="2" spans="1:31">
      <c r="A2" s="4"/>
      <c r="B2" s="4"/>
      <c r="C2" s="4"/>
      <c r="D2" s="4"/>
      <c r="E2" s="4"/>
      <c r="F2" s="4"/>
      <c r="G2" s="4"/>
      <c r="H2" s="4"/>
      <c r="I2" s="4"/>
      <c r="J2" s="72"/>
      <c r="K2" s="4" t="s">
        <v>1</v>
      </c>
      <c r="L2" s="75">
        <v>45</v>
      </c>
      <c r="M2" s="76" t="s">
        <v>7</v>
      </c>
      <c r="N2" s="77">
        <f ca="1">INTERCEPT(INDIRECT(ADDRESS(ROW(J7)+L2/5,J6)):INDIRECT(ADDRESS(ROW(J7)+L3/5,J6)),INDIRECT(ADDRESS(ROW(L7)+L2/5,L6)):INDIRECT(ADDRESS(ROW(L7)+L3/5,L6)))</f>
        <v>0.21194378965473235</v>
      </c>
      <c r="O2" s="74" t="s">
        <v>8</v>
      </c>
      <c r="P2" s="78">
        <f ca="1">1-N19/N10</f>
        <v>0.52818919621945071</v>
      </c>
      <c r="Q2" s="78"/>
      <c r="R2" s="4"/>
    </row>
    <row r="3" spans="1:31">
      <c r="A3" s="4" t="s">
        <v>42</v>
      </c>
      <c r="B3" s="4" t="str">
        <f>Introduction!D10</f>
        <v>Males</v>
      </c>
      <c r="C3" s="4"/>
      <c r="D3" s="4"/>
      <c r="E3" s="4"/>
      <c r="F3" s="4"/>
      <c r="G3" s="4"/>
      <c r="H3" s="4"/>
      <c r="I3" s="4"/>
      <c r="J3" s="72"/>
      <c r="K3" s="4" t="s">
        <v>4</v>
      </c>
      <c r="L3" s="75">
        <v>80</v>
      </c>
      <c r="M3" s="76" t="s">
        <v>15</v>
      </c>
      <c r="N3" s="77">
        <f ca="1">SLOPE(INDIRECT(ADDRESS(ROW(J7)+L2/5,J6)):INDIRECT(ADDRESS(ROW(J7)+L3/5,J6)),INDIRECT(ADDRESS(ROW(L7)+L2/5,L6)):INDIRECT(ADDRESS(ROW(L7)+L3/5,L6)))</f>
        <v>1.1893077686016125</v>
      </c>
      <c r="O3" s="74" t="s">
        <v>16</v>
      </c>
      <c r="P3" s="78">
        <f ca="1">1-N17/N10</f>
        <v>0.39646040722829234</v>
      </c>
      <c r="Q3" s="78"/>
      <c r="R3" s="4"/>
    </row>
    <row r="4" spans="1:31">
      <c r="A4" s="4"/>
      <c r="B4" s="4"/>
      <c r="C4" s="4"/>
      <c r="D4" s="4"/>
      <c r="E4" s="4"/>
      <c r="F4" s="4"/>
      <c r="G4" s="4"/>
      <c r="H4" s="4"/>
      <c r="I4" s="4"/>
      <c r="J4" s="72"/>
      <c r="K4" s="4"/>
      <c r="L4" s="4"/>
      <c r="M4" s="4"/>
      <c r="N4" s="4"/>
      <c r="O4" s="4"/>
      <c r="P4" s="4"/>
      <c r="Q4" s="4"/>
      <c r="R4" s="4"/>
    </row>
    <row r="5" spans="1:31" ht="42.75" customHeight="1">
      <c r="A5" s="79" t="s">
        <v>6</v>
      </c>
      <c r="B5" s="80" t="s">
        <v>93</v>
      </c>
      <c r="C5" s="80" t="s">
        <v>94</v>
      </c>
      <c r="D5" s="80" t="s">
        <v>89</v>
      </c>
      <c r="E5" s="81" t="s">
        <v>90</v>
      </c>
      <c r="F5" s="81" t="s">
        <v>91</v>
      </c>
      <c r="G5" s="82" t="s">
        <v>5</v>
      </c>
      <c r="H5" s="83" t="s">
        <v>78</v>
      </c>
      <c r="I5" s="83" t="s">
        <v>79</v>
      </c>
      <c r="J5" s="84" t="s">
        <v>80</v>
      </c>
      <c r="K5" s="81" t="str">
        <f>'Model data'!B23&amp;" Cdn. ls(x)"</f>
        <v>AIDS Cdn. ls(x)</v>
      </c>
      <c r="L5" s="85" t="s">
        <v>81</v>
      </c>
      <c r="M5" s="85" t="s">
        <v>82</v>
      </c>
      <c r="N5" s="86" t="s">
        <v>83</v>
      </c>
      <c r="O5" s="87" t="s">
        <v>84</v>
      </c>
      <c r="P5" s="88" t="s">
        <v>85</v>
      </c>
      <c r="Q5" s="89" t="s">
        <v>92</v>
      </c>
      <c r="R5" s="83" t="s">
        <v>6</v>
      </c>
    </row>
    <row r="6" spans="1:31">
      <c r="A6" s="90">
        <f>COLUMN()</f>
        <v>1</v>
      </c>
      <c r="B6" s="90">
        <f>COLUMN()</f>
        <v>2</v>
      </c>
      <c r="C6" s="90"/>
      <c r="D6" s="90">
        <f>COLUMN()</f>
        <v>4</v>
      </c>
      <c r="E6" s="90">
        <f>COLUMN()</f>
        <v>5</v>
      </c>
      <c r="F6" s="90">
        <f>COLUMN()</f>
        <v>6</v>
      </c>
      <c r="G6" s="90">
        <f>COLUMN()</f>
        <v>7</v>
      </c>
      <c r="H6" s="90">
        <f>COLUMN()</f>
        <v>8</v>
      </c>
      <c r="I6" s="90">
        <f>COLUMN()</f>
        <v>9</v>
      </c>
      <c r="J6" s="90">
        <f>COLUMN()</f>
        <v>10</v>
      </c>
      <c r="K6" s="90">
        <f>COLUMN()</f>
        <v>11</v>
      </c>
      <c r="L6" s="90">
        <f>COLUMN()</f>
        <v>12</v>
      </c>
      <c r="M6" s="90">
        <f>COLUMN()</f>
        <v>13</v>
      </c>
      <c r="N6" s="90">
        <f>COLUMN()</f>
        <v>14</v>
      </c>
      <c r="O6" s="90">
        <f>COLUMN()</f>
        <v>15</v>
      </c>
      <c r="P6" s="90">
        <f>COLUMN()</f>
        <v>16</v>
      </c>
      <c r="Q6" s="90">
        <f>COLUMN()</f>
        <v>17</v>
      </c>
      <c r="R6" s="90">
        <f>COLUMN()</f>
        <v>18</v>
      </c>
    </row>
    <row r="7" spans="1:31">
      <c r="A7" s="91" t="s">
        <v>17</v>
      </c>
      <c r="B7" s="92"/>
      <c r="C7" s="92"/>
      <c r="D7" s="92"/>
      <c r="E7" s="92"/>
      <c r="F7" s="93"/>
      <c r="G7" s="4">
        <v>0</v>
      </c>
      <c r="H7" s="4"/>
      <c r="I7" s="4"/>
      <c r="J7" s="4"/>
      <c r="K7" s="4"/>
      <c r="L7" s="4"/>
      <c r="M7" s="4"/>
      <c r="N7" s="4"/>
      <c r="O7" s="4"/>
      <c r="P7" s="4"/>
      <c r="Q7" s="4"/>
      <c r="R7" s="4">
        <v>0</v>
      </c>
      <c r="AD7" s="4"/>
      <c r="AE7" s="4"/>
    </row>
    <row r="8" spans="1:31">
      <c r="A8" s="91" t="s">
        <v>18</v>
      </c>
      <c r="B8" s="92">
        <f ca="1">Method!C9/Method!Q$29</f>
        <v>2486531.9334155279</v>
      </c>
      <c r="C8" s="92">
        <f ca="1">Method!D9/Method!Q$30</f>
        <v>2560641.9</v>
      </c>
      <c r="D8" s="92">
        <f ca="1">Method!E9/Method!Q$33</f>
        <v>17192.578956478221</v>
      </c>
      <c r="E8" s="92">
        <f ca="1">Method!G$3*('Mortality rates'!B8*'Mortality rates'!C8)^0.5</f>
        <v>13510001.479790689</v>
      </c>
      <c r="F8" s="93">
        <f t="shared" ref="F8:F20" ca="1" si="0">D8/E8</f>
        <v>1.2725815746353704E-3</v>
      </c>
      <c r="G8" s="4">
        <v>5</v>
      </c>
      <c r="H8" s="94">
        <f ca="1">5*F8/(1+2.5*F8)</f>
        <v>6.3427287737508895E-3</v>
      </c>
      <c r="I8" s="4">
        <v>1</v>
      </c>
      <c r="J8" s="4"/>
      <c r="K8" s="95">
        <f>'Model data'!D26</f>
        <v>1</v>
      </c>
      <c r="L8" s="4"/>
      <c r="M8" s="4"/>
      <c r="N8" s="96">
        <v>1</v>
      </c>
      <c r="O8" s="97">
        <f t="shared" ref="O8:O24" ca="1" si="1">O9+2.5*(N9+N8)</f>
        <v>50.698973651147313</v>
      </c>
      <c r="P8" s="98">
        <f t="shared" ref="P8:P24" ca="1" si="2">O8/N8</f>
        <v>50.698973651147313</v>
      </c>
      <c r="Q8" s="93">
        <f t="shared" ref="Q8:Q24" ca="1" si="3">(N8-N9)/(2.5*(N8+N9))</f>
        <v>3.2394537897495043E-3</v>
      </c>
      <c r="R8" s="4">
        <v>5</v>
      </c>
    </row>
    <row r="9" spans="1:31">
      <c r="A9" s="91" t="s">
        <v>19</v>
      </c>
      <c r="B9" s="92">
        <f ca="1">Method!C10/Method!Q$29</f>
        <v>2582831.4125449425</v>
      </c>
      <c r="C9" s="92">
        <f ca="1">Method!D10/Method!Q$30</f>
        <v>2452338.7999999998</v>
      </c>
      <c r="D9" s="92">
        <f ca="1">Method!E10/Method!Q$33</f>
        <v>12377.813585253998</v>
      </c>
      <c r="E9" s="92">
        <f ca="1">Method!G$3*('Mortality rates'!B9*'Mortality rates'!C9)^0.5</f>
        <v>13474796.554069396</v>
      </c>
      <c r="F9" s="93">
        <f t="shared" ca="1" si="0"/>
        <v>9.1859001622669333E-4</v>
      </c>
      <c r="G9" s="4">
        <v>10</v>
      </c>
      <c r="H9" s="94">
        <f t="shared" ref="H9:H19" ca="1" si="4">5*F9/(1+2.5*F9)</f>
        <v>4.5824266527003128E-3</v>
      </c>
      <c r="I9" s="94">
        <f t="shared" ref="I9:I25" ca="1" si="5">I8*(1-H8)</f>
        <v>0.99365727122624914</v>
      </c>
      <c r="J9" s="77">
        <f t="shared" ref="J9:J25" ca="1" si="6">IF(I9=0,NA(),0.5*LN((1-I9)/I9))</f>
        <v>-2.5270416339178339</v>
      </c>
      <c r="K9" s="95">
        <f>'Model data'!D27</f>
        <v>0.97846334922721911</v>
      </c>
      <c r="L9" s="77">
        <f>0.5*LN((K$8-K9)/K9)</f>
        <v>-1.9081135795731925</v>
      </c>
      <c r="M9" s="77">
        <f t="shared" ref="M9:M27" ca="1" si="7">N$2+N$3*L9</f>
        <v>-2.0573905139058963</v>
      </c>
      <c r="N9" s="99">
        <f ca="1">(1/(1+EXP(2*M9)))</f>
        <v>0.98393285300183664</v>
      </c>
      <c r="O9" s="97">
        <f t="shared" ca="1" si="1"/>
        <v>45.739141518642725</v>
      </c>
      <c r="P9" s="98">
        <f t="shared" ca="1" si="2"/>
        <v>46.486039549446112</v>
      </c>
      <c r="Q9" s="93">
        <f t="shared" ca="1" si="3"/>
        <v>2.9528448138803559E-3</v>
      </c>
      <c r="R9" s="4">
        <v>10</v>
      </c>
    </row>
    <row r="10" spans="1:31">
      <c r="A10" s="91" t="s">
        <v>20</v>
      </c>
      <c r="B10" s="92">
        <f ca="1">Method!C11/Method!Q$29</f>
        <v>2515333.9049947103</v>
      </c>
      <c r="C10" s="92">
        <f ca="1">Method!D11/Method!Q$30</f>
        <v>2553292.9</v>
      </c>
      <c r="D10" s="92">
        <f ca="1">Method!E11/Method!Q$33</f>
        <v>28133.537413531001</v>
      </c>
      <c r="E10" s="92">
        <f ca="1">Method!G$3*('Mortality rates'!B10*'Mortality rates'!C10)^0.5</f>
        <v>13568507.950993359</v>
      </c>
      <c r="F10" s="93">
        <f t="shared" ca="1" si="0"/>
        <v>2.0734437062014124E-3</v>
      </c>
      <c r="G10" s="4">
        <v>15</v>
      </c>
      <c r="H10" s="94">
        <f ca="1">5*F10/(1+2.5*F10)</f>
        <v>1.0313756049586283E-2</v>
      </c>
      <c r="I10" s="94">
        <f t="shared" ca="1" si="5"/>
        <v>0.98910390966293249</v>
      </c>
      <c r="J10" s="77">
        <f t="shared" ca="1" si="6"/>
        <v>-2.2541976756331041</v>
      </c>
      <c r="K10" s="95">
        <f>'Model data'!D28</f>
        <v>0.96321636510484787</v>
      </c>
      <c r="L10" s="77">
        <f t="shared" ref="L10:L27" si="8">0.5*LN((K$8-K10)/K10)</f>
        <v>-1.6326125112156291</v>
      </c>
      <c r="M10" s="77">
        <f t="shared" ca="1" si="7"/>
        <v>-1.7297349530502026</v>
      </c>
      <c r="N10" s="99">
        <f t="shared" ref="N10:N27" ca="1" si="9">(1/(1+EXP(2*M10)))</f>
        <v>0.96951230201386707</v>
      </c>
      <c r="O10" s="97">
        <f t="shared" ca="1" si="1"/>
        <v>40.855528631103468</v>
      </c>
      <c r="P10" s="98">
        <f t="shared" ca="1" si="2"/>
        <v>42.140289036290234</v>
      </c>
      <c r="Q10" s="93">
        <f t="shared" ca="1" si="3"/>
        <v>2.5423631341051581E-3</v>
      </c>
      <c r="R10" s="4">
        <v>15</v>
      </c>
    </row>
    <row r="11" spans="1:31">
      <c r="A11" s="91" t="s">
        <v>21</v>
      </c>
      <c r="B11" s="92">
        <f ca="1">Method!C12/Method!Q$29</f>
        <v>2152629.0055839419</v>
      </c>
      <c r="C11" s="92">
        <f ca="1">Method!D12/Method!Q$30</f>
        <v>2362519</v>
      </c>
      <c r="D11" s="92">
        <f ca="1">Method!E12/Method!Q$33</f>
        <v>60700.76792599514</v>
      </c>
      <c r="E11" s="92">
        <f ca="1">Method!G$3*('Mortality rates'!B11*'Mortality rates'!C11)^0.5</f>
        <v>12074139.831731327</v>
      </c>
      <c r="F11" s="93">
        <f t="shared" ca="1" si="0"/>
        <v>5.0273368349164774E-3</v>
      </c>
      <c r="G11" s="4">
        <v>20</v>
      </c>
      <c r="H11" s="94">
        <f t="shared" ca="1" si="4"/>
        <v>2.4824679115254631E-2</v>
      </c>
      <c r="I11" s="94">
        <f t="shared" ca="1" si="5"/>
        <v>0.97890253323097698</v>
      </c>
      <c r="J11" s="77">
        <f t="shared" ca="1" si="6"/>
        <v>-1.9186395525820081</v>
      </c>
      <c r="K11" s="95">
        <f>'Model data'!D29</f>
        <v>0.95122864220369541</v>
      </c>
      <c r="L11" s="77">
        <f t="shared" si="8"/>
        <v>-1.4853056232155615</v>
      </c>
      <c r="M11" s="77">
        <f t="shared" ca="1" si="7"/>
        <v>-1.5545417267831945</v>
      </c>
      <c r="N11" s="99">
        <f t="shared" ca="1" si="9"/>
        <v>0.95726587748597047</v>
      </c>
      <c r="O11" s="97">
        <f t="shared" ca="1" si="1"/>
        <v>36.038583182353875</v>
      </c>
      <c r="P11" s="98">
        <f t="shared" ca="1" si="2"/>
        <v>37.647412312450314</v>
      </c>
      <c r="Q11" s="93">
        <f t="shared" ca="1" si="3"/>
        <v>4.3127351063204124E-3</v>
      </c>
      <c r="R11" s="4">
        <v>20</v>
      </c>
    </row>
    <row r="12" spans="1:31">
      <c r="A12" s="91" t="s">
        <v>22</v>
      </c>
      <c r="B12" s="92">
        <f ca="1">Method!C13/Method!Q$29</f>
        <v>1947414.1890727002</v>
      </c>
      <c r="C12" s="92">
        <f ca="1">Method!D13/Method!Q$30</f>
        <v>2033165.3</v>
      </c>
      <c r="D12" s="92">
        <f ca="1">Method!E13/Method!Q$33</f>
        <v>113540.90957867703</v>
      </c>
      <c r="E12" s="92">
        <f ca="1">Method!G$3*('Mortality rates'!B12*'Mortality rates'!C12)^0.5</f>
        <v>10653675.433047669</v>
      </c>
      <c r="F12" s="93">
        <f t="shared" ca="1" si="0"/>
        <v>1.0657440269531158E-2</v>
      </c>
      <c r="G12" s="4">
        <v>25</v>
      </c>
      <c r="H12" s="94">
        <f t="shared" ca="1" si="4"/>
        <v>5.1904284322895726E-2</v>
      </c>
      <c r="I12" s="94">
        <f t="shared" ca="1" si="5"/>
        <v>0.9546015919584081</v>
      </c>
      <c r="J12" s="77">
        <f t="shared" ca="1" si="6"/>
        <v>-1.5229085164858653</v>
      </c>
      <c r="K12" s="95">
        <f>'Model data'!D30</f>
        <v>0.93239300666569136</v>
      </c>
      <c r="L12" s="77">
        <f t="shared" si="8"/>
        <v>-1.3120214886929051</v>
      </c>
      <c r="M12" s="77">
        <f t="shared" ca="1" si="7"/>
        <v>-1.3484535594199925</v>
      </c>
      <c r="N12" s="99">
        <f t="shared" ca="1" si="9"/>
        <v>0.93684389322751904</v>
      </c>
      <c r="O12" s="97">
        <f t="shared" ca="1" si="1"/>
        <v>31.303308755570153</v>
      </c>
      <c r="P12" s="98">
        <f t="shared" ca="1" si="2"/>
        <v>33.41358040743286</v>
      </c>
      <c r="Q12" s="93">
        <f t="shared" ca="1" si="3"/>
        <v>9.0022335236406032E-3</v>
      </c>
      <c r="R12" s="4">
        <v>25</v>
      </c>
    </row>
    <row r="13" spans="1:31">
      <c r="A13" s="91" t="s">
        <v>23</v>
      </c>
      <c r="B13" s="92">
        <f ca="1">Method!C14/Method!Q$29</f>
        <v>1635041.4783724661</v>
      </c>
      <c r="C13" s="92">
        <f ca="1">Method!D14/Method!Q$30</f>
        <v>1875482.6</v>
      </c>
      <c r="D13" s="92">
        <f ca="1">Method!E14/Method!Q$33</f>
        <v>160796.29207884247</v>
      </c>
      <c r="E13" s="92">
        <f ca="1">Method!G$3*('Mortality rates'!B13*'Mortality rates'!C13)^0.5</f>
        <v>9375724.9699441418</v>
      </c>
      <c r="F13" s="93">
        <f t="shared" ca="1" si="0"/>
        <v>1.715027825520787E-2</v>
      </c>
      <c r="G13" s="4">
        <v>30</v>
      </c>
      <c r="H13" s="94">
        <f t="shared" ca="1" si="4"/>
        <v>8.2225898671056494E-2</v>
      </c>
      <c r="I13" s="94">
        <f t="shared" ca="1" si="5"/>
        <v>0.90505367951431004</v>
      </c>
      <c r="J13" s="77">
        <f t="shared" ca="1" si="6"/>
        <v>-1.127341285969687</v>
      </c>
      <c r="K13" s="95">
        <f>'Model data'!D31</f>
        <v>0.89693312918052914</v>
      </c>
      <c r="L13" s="77">
        <f t="shared" si="8"/>
        <v>-1.0818016505220522</v>
      </c>
      <c r="M13" s="77">
        <f t="shared" ca="1" si="7"/>
        <v>-1.074651317397191</v>
      </c>
      <c r="N13" s="99">
        <f t="shared" ca="1" si="9"/>
        <v>0.89560359275594092</v>
      </c>
      <c r="O13" s="97">
        <f t="shared" ca="1" si="1"/>
        <v>26.722190040611505</v>
      </c>
      <c r="P13" s="98">
        <f t="shared" ca="1" si="2"/>
        <v>29.837073295320639</v>
      </c>
      <c r="Q13" s="93">
        <f t="shared" ca="1" si="3"/>
        <v>1.58860729264594E-2</v>
      </c>
      <c r="R13" s="4">
        <v>30</v>
      </c>
    </row>
    <row r="14" spans="1:31">
      <c r="A14" s="91" t="s">
        <v>24</v>
      </c>
      <c r="B14" s="92">
        <f ca="1">Method!C15/Method!Q$29</f>
        <v>1478197.3635076445</v>
      </c>
      <c r="C14" s="92">
        <f ca="1">Method!D15/Method!Q$30</f>
        <v>1548185.2</v>
      </c>
      <c r="D14" s="92">
        <f ca="1">Method!E15/Method!Q$33</f>
        <v>161140.78702910131</v>
      </c>
      <c r="E14" s="92">
        <f ca="1">Method!G$3*('Mortality rates'!B14*'Mortality rates'!C14)^0.5</f>
        <v>8099563.5944338003</v>
      </c>
      <c r="F14" s="93">
        <f t="shared" ca="1" si="0"/>
        <v>1.9894996211875023E-2</v>
      </c>
      <c r="G14" s="4">
        <v>35</v>
      </c>
      <c r="H14" s="94">
        <f t="shared" ca="1" si="4"/>
        <v>9.4761768496218021E-2</v>
      </c>
      <c r="I14" s="94">
        <f t="shared" ca="1" si="5"/>
        <v>0.8306348273706996</v>
      </c>
      <c r="J14" s="77">
        <f t="shared" ca="1" si="6"/>
        <v>-0.79506654606011895</v>
      </c>
      <c r="K14" s="95">
        <f>'Model data'!D32</f>
        <v>0.8419717107544703</v>
      </c>
      <c r="L14" s="77">
        <f t="shared" si="8"/>
        <v>-0.83648617657059132</v>
      </c>
      <c r="M14" s="77">
        <f t="shared" ca="1" si="7"/>
        <v>-0.78289571846853201</v>
      </c>
      <c r="N14" s="99">
        <f t="shared" ca="1" si="9"/>
        <v>0.82718281642359293</v>
      </c>
      <c r="O14" s="97">
        <f t="shared" ca="1" si="1"/>
        <v>22.41522401766267</v>
      </c>
      <c r="P14" s="98">
        <f t="shared" ca="1" si="2"/>
        <v>27.098270869040917</v>
      </c>
      <c r="Q14" s="93">
        <f t="shared" ca="1" si="3"/>
        <v>2.0647519220990805E-2</v>
      </c>
      <c r="R14" s="4">
        <v>35</v>
      </c>
    </row>
    <row r="15" spans="1:31">
      <c r="A15" s="91" t="s">
        <v>25</v>
      </c>
      <c r="B15" s="92">
        <f ca="1">Method!C16/Method!Q$29</f>
        <v>1265085.3314356033</v>
      </c>
      <c r="C15" s="92">
        <f ca="1">Method!D16/Method!Q$30</f>
        <v>1306899.8</v>
      </c>
      <c r="D15" s="92">
        <f ca="1">Method!E16/Method!Q$33</f>
        <v>150136.21767994374</v>
      </c>
      <c r="E15" s="92">
        <f ca="1">Method!G$3*('Mortality rates'!B15*'Mortality rates'!C15)^0.5</f>
        <v>6884382.7556289714</v>
      </c>
      <c r="F15" s="93">
        <f t="shared" ca="1" si="0"/>
        <v>2.1808232198766958E-2</v>
      </c>
      <c r="G15" s="4">
        <v>40</v>
      </c>
      <c r="H15" s="94">
        <f t="shared" ca="1" si="4"/>
        <v>0.10340353996927379</v>
      </c>
      <c r="I15" s="94">
        <f t="shared" ca="1" si="5"/>
        <v>0.75192240215450135</v>
      </c>
      <c r="J15" s="77">
        <f t="shared" ca="1" si="6"/>
        <v>-0.5544457691195992</v>
      </c>
      <c r="K15" s="95">
        <f>'Model data'!D33</f>
        <v>0.77940737993874531</v>
      </c>
      <c r="L15" s="77">
        <f t="shared" si="8"/>
        <v>-0.63110810464082734</v>
      </c>
      <c r="M15" s="77">
        <f t="shared" ca="1" si="7"/>
        <v>-0.53863798202204294</v>
      </c>
      <c r="N15" s="99">
        <f t="shared" ca="1" si="9"/>
        <v>0.74597813877324548</v>
      </c>
      <c r="O15" s="97">
        <f t="shared" ca="1" si="1"/>
        <v>18.482321629670572</v>
      </c>
      <c r="P15" s="98">
        <f t="shared" ca="1" si="2"/>
        <v>24.775956115905203</v>
      </c>
      <c r="Q15" s="93">
        <f t="shared" ca="1" si="3"/>
        <v>2.4093407846255636E-2</v>
      </c>
      <c r="R15" s="4">
        <v>40</v>
      </c>
    </row>
    <row r="16" spans="1:31">
      <c r="A16" s="91" t="s">
        <v>26</v>
      </c>
      <c r="B16" s="92">
        <f ca="1">Method!C17/Method!Q$29</f>
        <v>992272.52345761994</v>
      </c>
      <c r="C16" s="92">
        <f ca="1">Method!D17/Method!Q$30</f>
        <v>1104293.7</v>
      </c>
      <c r="D16" s="92">
        <f ca="1">Method!E17/Method!Q$33</f>
        <v>133650.60258931009</v>
      </c>
      <c r="E16" s="92">
        <f ca="1">Method!G$3*('Mortality rates'!B16*'Mortality rates'!C16)^0.5</f>
        <v>5604562.7031635428</v>
      </c>
      <c r="F16" s="93">
        <f t="shared" ca="1" si="0"/>
        <v>2.3846749455380324E-2</v>
      </c>
      <c r="G16" s="4">
        <v>45</v>
      </c>
      <c r="H16" s="94">
        <f t="shared" ca="1" si="4"/>
        <v>0.11252533839658829</v>
      </c>
      <c r="I16" s="94">
        <f t="shared" ca="1" si="5"/>
        <v>0.67417096398952603</v>
      </c>
      <c r="J16" s="77">
        <f t="shared" ca="1" si="6"/>
        <v>-0.36355546006407491</v>
      </c>
      <c r="K16" s="95">
        <f>'Model data'!D34</f>
        <v>0.71477651150388022</v>
      </c>
      <c r="L16" s="77">
        <f t="shared" si="8"/>
        <v>-0.45934843969023603</v>
      </c>
      <c r="M16" s="77">
        <f t="shared" ca="1" si="7"/>
        <v>-0.33436287816389465</v>
      </c>
      <c r="N16" s="99">
        <f t="shared" ca="1" si="9"/>
        <v>0.66121777603556198</v>
      </c>
      <c r="O16" s="97">
        <f t="shared" ca="1" si="1"/>
        <v>14.964331842648551</v>
      </c>
      <c r="P16" s="98">
        <f t="shared" ca="1" si="2"/>
        <v>22.63147239079025</v>
      </c>
      <c r="Q16" s="93">
        <f t="shared" ca="1" si="3"/>
        <v>2.441635136734217E-2</v>
      </c>
      <c r="R16" s="4">
        <v>45</v>
      </c>
    </row>
    <row r="17" spans="1:18">
      <c r="A17" s="91" t="s">
        <v>27</v>
      </c>
      <c r="B17" s="92">
        <f ca="1">Method!C18/Method!Q$29</f>
        <v>789134.03277221834</v>
      </c>
      <c r="C17" s="92">
        <f ca="1">Method!D18/Method!Q$30</f>
        <v>888042.4</v>
      </c>
      <c r="D17" s="92">
        <f ca="1">Method!E18/Method!Q$33</f>
        <v>122768.41355222011</v>
      </c>
      <c r="E17" s="92">
        <f ca="1">Method!G$3*('Mortality rates'!B17*'Mortality rates'!C17)^0.5</f>
        <v>4482044.7664895728</v>
      </c>
      <c r="F17" s="93">
        <f t="shared" ca="1" si="0"/>
        <v>2.7391161835354623E-2</v>
      </c>
      <c r="G17" s="4">
        <v>50</v>
      </c>
      <c r="H17" s="94">
        <f t="shared" ca="1" si="4"/>
        <v>0.1281784195898118</v>
      </c>
      <c r="I17" s="94">
        <f t="shared" ca="1" si="5"/>
        <v>0.59830964812945042</v>
      </c>
      <c r="J17" s="77">
        <f t="shared" ca="1" si="6"/>
        <v>-0.19921345167053436</v>
      </c>
      <c r="K17" s="95">
        <f>'Model data'!D35</f>
        <v>0.65601381508394385</v>
      </c>
      <c r="L17" s="77">
        <f t="shared" si="8"/>
        <v>-0.32279017593115344</v>
      </c>
      <c r="M17" s="77">
        <f t="shared" ca="1" si="7"/>
        <v>-0.1719530742084697</v>
      </c>
      <c r="N17" s="99">
        <f t="shared" ca="1" si="9"/>
        <v>0.58513905994461013</v>
      </c>
      <c r="O17" s="97">
        <f t="shared" ca="1" si="1"/>
        <v>11.848439752698122</v>
      </c>
      <c r="P17" s="98">
        <f t="shared" ca="1" si="2"/>
        <v>20.248929807932676</v>
      </c>
      <c r="Q17" s="93">
        <f t="shared" ca="1" si="3"/>
        <v>2.3388902413135852E-2</v>
      </c>
      <c r="R17" s="4">
        <v>50</v>
      </c>
    </row>
    <row r="18" spans="1:18">
      <c r="A18" s="91" t="s">
        <v>28</v>
      </c>
      <c r="B18" s="92">
        <f ca="1">Method!C19/Method!Q$29</f>
        <v>566403.22905958211</v>
      </c>
      <c r="C18" s="92">
        <f ca="1">Method!D19/Method!Q$30</f>
        <v>708812.3</v>
      </c>
      <c r="D18" s="92">
        <f ca="1">Method!E19/Method!Q$33</f>
        <v>106971.87913970675</v>
      </c>
      <c r="E18" s="92">
        <f ca="1">Method!G$3*('Mortality rates'!B18*'Mortality rates'!C18)^0.5</f>
        <v>3392442.0300263087</v>
      </c>
      <c r="F18" s="93">
        <f t="shared" ca="1" si="0"/>
        <v>3.1532411812170945E-2</v>
      </c>
      <c r="G18" s="4">
        <v>55</v>
      </c>
      <c r="H18" s="94">
        <f t="shared" ca="1" si="4"/>
        <v>0.14614156873989695</v>
      </c>
      <c r="I18" s="94">
        <f t="shared" ca="1" si="5"/>
        <v>0.52161926300688111</v>
      </c>
      <c r="J18" s="77">
        <f t="shared" ca="1" si="6"/>
        <v>-4.3265502099371078E-2</v>
      </c>
      <c r="K18" s="95">
        <f>'Model data'!D36</f>
        <v>0.60476738722405798</v>
      </c>
      <c r="L18" s="77">
        <f t="shared" si="8"/>
        <v>-0.21268470774774717</v>
      </c>
      <c r="M18" s="77">
        <f t="shared" ca="1" si="7"/>
        <v>-4.1003785532426923E-2</v>
      </c>
      <c r="N18" s="99">
        <f t="shared" ca="1" si="9"/>
        <v>0.52049041047290434</v>
      </c>
      <c r="O18" s="97">
        <f t="shared" ca="1" si="1"/>
        <v>9.0843660766543355</v>
      </c>
      <c r="P18" s="98">
        <f t="shared" ca="1" si="2"/>
        <v>17.45347444230627</v>
      </c>
      <c r="Q18" s="93">
        <f t="shared" ca="1" si="3"/>
        <v>2.5795254850507866E-2</v>
      </c>
      <c r="R18" s="4">
        <v>55</v>
      </c>
    </row>
    <row r="19" spans="1:18">
      <c r="A19" s="91" t="s">
        <v>29</v>
      </c>
      <c r="B19" s="92">
        <f ca="1">Method!C20/Method!Q$29</f>
        <v>455860.66743794864</v>
      </c>
      <c r="C19" s="92">
        <f ca="1">Method!D20/Method!Q$30</f>
        <v>491870.6</v>
      </c>
      <c r="D19" s="92">
        <f ca="1">Method!E20/Method!Q$33</f>
        <v>99324.664958409659</v>
      </c>
      <c r="E19" s="92">
        <f ca="1">Method!G$3*('Mortality rates'!B19*'Mortality rates'!C19)^0.5</f>
        <v>2535277.1700384915</v>
      </c>
      <c r="F19" s="93">
        <f t="shared" ca="1" si="0"/>
        <v>3.9177043887829305E-2</v>
      </c>
      <c r="G19" s="4">
        <v>60</v>
      </c>
      <c r="H19" s="94">
        <f t="shared" ca="1" si="4"/>
        <v>0.17841116439517526</v>
      </c>
      <c r="I19" s="94">
        <f t="shared" ca="1" si="5"/>
        <v>0.44538900562610662</v>
      </c>
      <c r="J19" s="77">
        <f t="shared" ca="1" si="6"/>
        <v>0.10965944335344807</v>
      </c>
      <c r="K19" s="95">
        <f>'Model data'!D37</f>
        <v>0.55301990265857381</v>
      </c>
      <c r="L19" s="77">
        <f t="shared" si="8"/>
        <v>-0.10643996127832432</v>
      </c>
      <c r="M19" s="77">
        <f t="shared" ca="1" si="7"/>
        <v>8.5353916816766406E-2</v>
      </c>
      <c r="N19" s="99">
        <f t="shared" ca="1" si="9"/>
        <v>0.45742637848829332</v>
      </c>
      <c r="O19" s="97">
        <f t="shared" ca="1" si="1"/>
        <v>6.6395741042513414</v>
      </c>
      <c r="P19" s="98">
        <f t="shared" ca="1" si="2"/>
        <v>14.51506606635556</v>
      </c>
      <c r="Q19" s="93">
        <f t="shared" ca="1" si="3"/>
        <v>3.3693242328910515E-2</v>
      </c>
      <c r="R19" s="4">
        <v>60</v>
      </c>
    </row>
    <row r="20" spans="1:18">
      <c r="A20" s="100" t="str">
        <f ca="1">IF(E20=0,"", IF(E21=0, "65+", "   65-69"))</f>
        <v xml:space="preserve">   65-69</v>
      </c>
      <c r="B20" s="92">
        <f ca="1">Method!C21/Method!Q$29</f>
        <v>312561.3743802117</v>
      </c>
      <c r="C20" s="92">
        <f ca="1">Method!D21/Method!Q$30</f>
        <v>394304.6</v>
      </c>
      <c r="D20" s="92">
        <f ca="1">Method!E21/Method!Q$33</f>
        <v>91496.630870371868</v>
      </c>
      <c r="E20" s="92">
        <f ca="1">Method!G$3*('Mortality rates'!B20*'Mortality rates'!C20)^0.5</f>
        <v>1879609.0526137811</v>
      </c>
      <c r="F20" s="93">
        <f t="shared" ca="1" si="0"/>
        <v>4.867854341472596E-2</v>
      </c>
      <c r="G20" s="4">
        <v>65</v>
      </c>
      <c r="H20" s="94">
        <f t="shared" ref="H20:H22" ca="1" si="10">IF(D21=0,NA(),5*F20/(1+2.5*F20))</f>
        <v>0.2169862772766071</v>
      </c>
      <c r="I20" s="94">
        <f t="shared" ca="1" si="5"/>
        <v>0.36592663452354368</v>
      </c>
      <c r="J20" s="77">
        <f t="shared" ca="1" si="6"/>
        <v>0.27486590248640036</v>
      </c>
      <c r="K20" s="95">
        <f>'Model data'!D38</f>
        <v>0.49184811509613446</v>
      </c>
      <c r="L20" s="77">
        <f t="shared" si="8"/>
        <v>1.6305214622333544E-2</v>
      </c>
      <c r="M20" s="77">
        <f t="shared" ca="1" si="7"/>
        <v>0.23133570807379022</v>
      </c>
      <c r="N20" s="99">
        <f t="shared" ca="1" si="9"/>
        <v>0.38635228134405653</v>
      </c>
      <c r="O20" s="97">
        <f t="shared" ca="1" si="1"/>
        <v>4.5301274546704668</v>
      </c>
      <c r="P20" s="98">
        <f t="shared" ca="1" si="2"/>
        <v>11.725380367655376</v>
      </c>
      <c r="Q20" s="93">
        <f t="shared" ca="1" si="3"/>
        <v>5.034148001803327E-2</v>
      </c>
      <c r="R20" s="4">
        <v>65</v>
      </c>
    </row>
    <row r="21" spans="1:18">
      <c r="A21" s="100" t="str">
        <f ca="1">IF(E21=0,"", IF(E22=0," 70+", "   70-74"))</f>
        <v xml:space="preserve">   70-74</v>
      </c>
      <c r="B21" s="92">
        <f ca="1">Method!C22/Method!Q$29</f>
        <v>238499.60118206491</v>
      </c>
      <c r="C21" s="92">
        <f ca="1">Method!D22/Method!Q$30</f>
        <v>241976.3</v>
      </c>
      <c r="D21" s="92">
        <f ca="1">Method!E22/Method!Q$33</f>
        <v>80665.749334305976</v>
      </c>
      <c r="E21" s="92">
        <f ca="1">Method!G$3*('Mortality rates'!B21*'Mortality rates'!C21)^0.5</f>
        <v>1286216.8558670024</v>
      </c>
      <c r="F21" s="93">
        <f t="shared" ref="F21:F23" ca="1" si="11">IF(E21&gt;0,D21/E21,NA())</f>
        <v>6.2715512525243253E-2</v>
      </c>
      <c r="G21" s="4">
        <v>70</v>
      </c>
      <c r="H21" s="94">
        <f t="shared" ca="1" si="10"/>
        <v>0.27107590226650047</v>
      </c>
      <c r="I21" s="94">
        <f t="shared" ca="1" si="5"/>
        <v>0.28652557634192233</v>
      </c>
      <c r="J21" s="77">
        <f t="shared" ca="1" si="6"/>
        <v>0.45615939304744868</v>
      </c>
      <c r="K21" s="95">
        <f>'Model data'!D39</f>
        <v>0.41190093447378456</v>
      </c>
      <c r="L21" s="77">
        <f t="shared" si="8"/>
        <v>0.17805627118169123</v>
      </c>
      <c r="M21" s="77">
        <f t="shared" ca="1" si="7"/>
        <v>0.42370749621935311</v>
      </c>
      <c r="N21" s="99">
        <f t="shared" ca="1" si="9"/>
        <v>0.29997540284543561</v>
      </c>
      <c r="O21" s="97">
        <f t="shared" ca="1" si="1"/>
        <v>2.8143082441967366</v>
      </c>
      <c r="P21" s="98">
        <f t="shared" ca="1" si="2"/>
        <v>9.3817966990007786</v>
      </c>
      <c r="Q21" s="93">
        <f t="shared" ca="1" si="3"/>
        <v>7.1688548682359729E-2</v>
      </c>
      <c r="R21" s="4">
        <v>70</v>
      </c>
    </row>
    <row r="22" spans="1:18">
      <c r="A22" s="100" t="str">
        <f ca="1">IF(E22=0,"", IF(E23=0," 75+", "   75-79"))</f>
        <v xml:space="preserve">   75-79</v>
      </c>
      <c r="B22" s="92">
        <f ca="1">Method!C23/Method!Q$29</f>
        <v>139924.87908596444</v>
      </c>
      <c r="C22" s="92">
        <f ca="1">Method!D23/Method!Q$30</f>
        <v>163112.35999999999</v>
      </c>
      <c r="D22" s="92">
        <f ca="1">Method!E23/Method!Q$33</f>
        <v>70542.618403307715</v>
      </c>
      <c r="E22" s="92">
        <f ca="1">Method!G$3*('Mortality rates'!B22*'Mortality rates'!C22)^0.5</f>
        <v>808862.79187398939</v>
      </c>
      <c r="F22" s="93">
        <f t="shared" ca="1" si="11"/>
        <v>8.7212094698871201E-2</v>
      </c>
      <c r="G22" s="4">
        <v>75</v>
      </c>
      <c r="H22" s="94">
        <f t="shared" ca="1" si="10"/>
        <v>0.35800463760151091</v>
      </c>
      <c r="I22" s="94">
        <f t="shared" ca="1" si="5"/>
        <v>0.20885539721260668</v>
      </c>
      <c r="J22" s="77">
        <f t="shared" ca="1" si="6"/>
        <v>0.66591931400872972</v>
      </c>
      <c r="K22" s="95">
        <f>'Model data'!D40</f>
        <v>0.31783379984852717</v>
      </c>
      <c r="L22" s="77">
        <f t="shared" si="8"/>
        <v>0.38187235961094013</v>
      </c>
      <c r="M22" s="77">
        <f t="shared" ca="1" si="7"/>
        <v>0.66610755355425211</v>
      </c>
      <c r="N22" s="99">
        <f t="shared" ca="1" si="9"/>
        <v>0.20879319657620074</v>
      </c>
      <c r="O22" s="97">
        <f t="shared" ca="1" si="1"/>
        <v>1.5423867456426459</v>
      </c>
      <c r="P22" s="98">
        <f t="shared" ca="1" si="2"/>
        <v>7.3871504001795367</v>
      </c>
      <c r="Q22" s="93">
        <f t="shared" ca="1" si="3"/>
        <v>0.10077056463687141</v>
      </c>
      <c r="R22" s="4">
        <v>75</v>
      </c>
    </row>
    <row r="23" spans="1:18">
      <c r="A23" s="100" t="str">
        <f ca="1">IF(E23=0,"", IF(E24=0," 80+", "   80-84"))</f>
        <v xml:space="preserve">   80-84</v>
      </c>
      <c r="B23" s="92">
        <f ca="1">Method!C24/Method!Q$29</f>
        <v>93158.844065440368</v>
      </c>
      <c r="C23" s="92">
        <f ca="1">Method!D24/Method!Q$30</f>
        <v>87698.19</v>
      </c>
      <c r="D23" s="92">
        <f ca="1">Method!E24/Method!Q$33</f>
        <v>53194.141017939342</v>
      </c>
      <c r="E23" s="92">
        <f ca="1">Method!G$3*('Mortality rates'!B23*'Mortality rates'!C23)^0.5</f>
        <v>483939.76898693648</v>
      </c>
      <c r="F23" s="93">
        <f t="shared" ca="1" si="11"/>
        <v>0.10991892881482793</v>
      </c>
      <c r="G23" s="4">
        <v>80</v>
      </c>
      <c r="H23" s="94">
        <f ca="1">IF(D24=0,NA(),5*F23/(1+2.5*F23))</f>
        <v>0.43112315548005042</v>
      </c>
      <c r="I23" s="94">
        <f t="shared" ca="1" si="5"/>
        <v>0.13408419642238781</v>
      </c>
      <c r="J23" s="77">
        <f t="shared" ca="1" si="6"/>
        <v>0.93265987259296534</v>
      </c>
      <c r="K23" s="95">
        <f>'Model data'!D41</f>
        <v>0.21728017424009663</v>
      </c>
      <c r="L23" s="77">
        <f t="shared" si="8"/>
        <v>0.64079358208261483</v>
      </c>
      <c r="M23" s="77">
        <f t="shared" ca="1" si="7"/>
        <v>0.97404457489564122</v>
      </c>
      <c r="N23" s="99">
        <f t="shared" ca="1" si="9"/>
        <v>0.12476186647364919</v>
      </c>
      <c r="O23" s="97">
        <f ca="1">O24+2.5*(N24+N23)</f>
        <v>0.70849908801802097</v>
      </c>
      <c r="P23" s="98">
        <f t="shared" ca="1" si="2"/>
        <v>5.6788112268876825</v>
      </c>
      <c r="Q23" s="93">
        <f t="shared" ca="1" si="3"/>
        <v>0.14697935054959235</v>
      </c>
      <c r="R23" s="4">
        <v>80</v>
      </c>
    </row>
    <row r="24" spans="1:18">
      <c r="A24" s="100" t="str">
        <f ca="1">IF(E24=0,"", "85+")</f>
        <v>85+</v>
      </c>
      <c r="B24" s="92">
        <f ca="1">Method!C25/Method!Q$29</f>
        <v>47083.89230744278</v>
      </c>
      <c r="C24" s="92">
        <f ca="1">Method!D25/Method!Q$30</f>
        <v>70299.38</v>
      </c>
      <c r="D24" s="92">
        <f ca="1">Method!E25/Method!Q$33</f>
        <v>51021.297398402712</v>
      </c>
      <c r="E24" s="92">
        <f ca="1">Method!G$3*('Mortality rates'!B24*'Mortality rates'!C24)^0.5</f>
        <v>308032.03039196943</v>
      </c>
      <c r="F24" s="93">
        <f ca="1">IF(E24&gt;0,D24/E24,NA())</f>
        <v>0.16563633766747676</v>
      </c>
      <c r="G24" s="4">
        <v>85</v>
      </c>
      <c r="H24" s="94" t="e">
        <f>NA()</f>
        <v>#N/A</v>
      </c>
      <c r="I24" s="94">
        <f t="shared" ca="1" si="5"/>
        <v>7.6277394560761089E-2</v>
      </c>
      <c r="J24" s="77">
        <f t="shared" ca="1" si="6"/>
        <v>1.2470175960567036</v>
      </c>
      <c r="K24" s="95">
        <f>'Model data'!D42</f>
        <v>0.1200582863705522</v>
      </c>
      <c r="L24" s="77">
        <f t="shared" si="8"/>
        <v>0.99593916307683372</v>
      </c>
      <c r="M24" s="77">
        <f t="shared" ca="1" si="7"/>
        <v>1.3964219733565988</v>
      </c>
      <c r="N24" s="99">
        <f t="shared" ca="1" si="9"/>
        <v>5.7712102751392033E-2</v>
      </c>
      <c r="O24" s="97">
        <f t="shared" ca="1" si="1"/>
        <v>0.25231416495541792</v>
      </c>
      <c r="P24" s="98">
        <f t="shared" ca="1" si="2"/>
        <v>4.3719454486404414</v>
      </c>
      <c r="Q24" s="93">
        <f t="shared" ca="1" si="3"/>
        <v>0.20810773603387986</v>
      </c>
      <c r="R24" s="4">
        <v>85</v>
      </c>
    </row>
    <row r="25" spans="1:18">
      <c r="A25" s="91"/>
      <c r="B25" s="92"/>
      <c r="C25" s="92"/>
      <c r="D25" s="92"/>
      <c r="E25" s="4"/>
      <c r="F25" s="4"/>
      <c r="G25" s="4"/>
      <c r="H25" s="94"/>
      <c r="I25" s="94" t="e">
        <f t="shared" ca="1" si="5"/>
        <v>#N/A</v>
      </c>
      <c r="J25" s="77" t="e">
        <f t="shared" ca="1" si="6"/>
        <v>#N/A</v>
      </c>
      <c r="K25" s="95">
        <f>K24*EXP((LN(K24/K23))^2/LN(K23/K22))</f>
        <v>4.7596485269324355E-2</v>
      </c>
      <c r="L25" s="77">
        <f t="shared" si="8"/>
        <v>1.4981149426839451</v>
      </c>
      <c r="M25" s="77">
        <f t="shared" ca="1" si="7"/>
        <v>1.9936635292469076</v>
      </c>
      <c r="N25" s="99">
        <f t="shared" ca="1" si="9"/>
        <v>1.8211421100212691E-2</v>
      </c>
      <c r="O25" s="97">
        <f ca="1">O26+2.5*(N26+N25)</f>
        <v>6.2505355326406137E-2</v>
      </c>
      <c r="P25" s="98">
        <f ca="1">O25/N25</f>
        <v>3.4322063600888422</v>
      </c>
      <c r="Q25" s="93">
        <f ca="1">1/P25</f>
        <v>0.29135777254783574</v>
      </c>
      <c r="R25" s="4">
        <v>90</v>
      </c>
    </row>
    <row r="26" spans="1:18">
      <c r="A26" s="91" t="s">
        <v>30</v>
      </c>
      <c r="B26" s="92">
        <f ca="1">SUM(B7:B24)</f>
        <v>19697963.662676025</v>
      </c>
      <c r="C26" s="92">
        <f ca="1">SUM(C7:C24)</f>
        <v>20842935.330000002</v>
      </c>
      <c r="D26" s="92">
        <f ca="1">SUM(D7:D24)</f>
        <v>1513654.9015117974</v>
      </c>
      <c r="E26" s="4"/>
      <c r="F26" s="4"/>
      <c r="G26" s="4"/>
      <c r="H26" s="4"/>
      <c r="I26" s="4"/>
      <c r="J26" s="4"/>
      <c r="K26" s="95">
        <f t="shared" ref="K26:K27" si="12">K25*EXP((LN(K25/K24))^2/LN(K24/K23))</f>
        <v>1.1242643045383931E-2</v>
      </c>
      <c r="L26" s="77">
        <f t="shared" si="8"/>
        <v>2.2383674982534045</v>
      </c>
      <c r="M26" s="77">
        <f t="shared" ca="1" si="7"/>
        <v>2.8740516443128628</v>
      </c>
      <c r="N26" s="99">
        <f t="shared" ca="1" si="9"/>
        <v>3.1786870701933792E-3</v>
      </c>
      <c r="O26" s="97">
        <f ca="1">O27+2.5*(N27+N26)</f>
        <v>9.0300849003909622E-3</v>
      </c>
      <c r="P26" s="4"/>
      <c r="Q26" s="4"/>
      <c r="R26" s="4"/>
    </row>
    <row r="27" spans="1:18">
      <c r="A27" s="4"/>
      <c r="B27" s="4"/>
      <c r="C27" s="4"/>
      <c r="D27" s="4"/>
      <c r="E27" s="4"/>
      <c r="F27" s="4"/>
      <c r="G27" s="4"/>
      <c r="H27" s="4"/>
      <c r="I27" s="4"/>
      <c r="J27" s="4"/>
      <c r="K27" s="95">
        <f t="shared" si="12"/>
        <v>1.184149936079993E-3</v>
      </c>
      <c r="L27" s="77">
        <f t="shared" si="8"/>
        <v>3.3687726318698017</v>
      </c>
      <c r="M27" s="77">
        <f t="shared" ca="1" si="7"/>
        <v>4.2184512513899879</v>
      </c>
      <c r="N27" s="99">
        <f t="shared" ca="1" si="9"/>
        <v>2.1667344498150267E-4</v>
      </c>
      <c r="O27" s="97">
        <f ca="1">O28+2.5*(N28+N27)</f>
        <v>5.4168361245375671E-4</v>
      </c>
      <c r="P27" s="106"/>
      <c r="Q27" s="105"/>
      <c r="R27" s="4"/>
    </row>
    <row r="28" spans="1:18">
      <c r="A28" s="4"/>
      <c r="B28" s="4"/>
      <c r="C28" s="4"/>
      <c r="D28" s="4"/>
      <c r="E28" s="4"/>
      <c r="F28" s="4"/>
      <c r="G28" s="4"/>
      <c r="H28" s="4"/>
      <c r="I28" s="4"/>
      <c r="J28" s="4"/>
      <c r="K28" s="4"/>
      <c r="L28" s="4"/>
      <c r="M28" s="4"/>
      <c r="N28" s="4"/>
      <c r="O28" s="4"/>
      <c r="P28" s="106"/>
      <c r="Q28" s="105"/>
      <c r="R28" s="4"/>
    </row>
    <row r="29" spans="1:18">
      <c r="A29" s="4"/>
      <c r="B29" s="4"/>
      <c r="C29" s="4"/>
      <c r="D29" s="4"/>
      <c r="E29" s="4"/>
      <c r="F29" s="4"/>
      <c r="G29" s="4"/>
      <c r="H29" s="4"/>
      <c r="I29" s="4"/>
      <c r="J29" s="4"/>
      <c r="K29" s="4"/>
      <c r="L29" s="4"/>
      <c r="M29" s="4"/>
      <c r="N29" s="4"/>
      <c r="O29" s="4"/>
      <c r="P29" s="106"/>
      <c r="Q29" s="105"/>
      <c r="R29" s="4"/>
    </row>
    <row r="30" spans="1:18">
      <c r="A30" s="4"/>
      <c r="B30" s="4"/>
      <c r="C30" s="4"/>
      <c r="D30" s="4"/>
      <c r="E30" s="4"/>
      <c r="F30" s="4"/>
      <c r="G30" s="4"/>
      <c r="H30" s="4"/>
      <c r="I30" s="4"/>
      <c r="J30" s="4"/>
      <c r="K30" s="4"/>
      <c r="L30" s="4"/>
      <c r="M30" s="4"/>
      <c r="N30" s="4"/>
      <c r="O30" s="4"/>
      <c r="P30" s="106"/>
      <c r="Q30" s="105"/>
      <c r="R30" s="4"/>
    </row>
    <row r="31" spans="1:18">
      <c r="A31" s="4"/>
      <c r="B31" s="4"/>
      <c r="C31" s="4"/>
      <c r="D31" s="4"/>
      <c r="E31" s="4"/>
      <c r="F31" s="4"/>
      <c r="G31" s="4"/>
      <c r="H31" s="4"/>
      <c r="I31" s="4"/>
      <c r="J31" s="4"/>
      <c r="K31" s="4"/>
      <c r="L31" s="4"/>
      <c r="M31" s="4"/>
      <c r="N31" s="4"/>
      <c r="O31" s="4"/>
      <c r="P31" s="106"/>
      <c r="Q31" s="105"/>
      <c r="R31" s="4"/>
    </row>
    <row r="32" spans="1:18">
      <c r="A32" s="4"/>
      <c r="B32" s="4"/>
      <c r="C32" s="4"/>
      <c r="D32" s="4"/>
      <c r="E32" s="4"/>
      <c r="F32" s="4"/>
      <c r="G32" s="4"/>
      <c r="H32" s="4"/>
      <c r="I32" s="4"/>
      <c r="J32" s="4"/>
      <c r="K32" s="4"/>
      <c r="L32" s="4"/>
      <c r="M32" s="4"/>
      <c r="N32" s="4"/>
      <c r="O32" s="4"/>
      <c r="P32" s="106"/>
      <c r="Q32" s="105"/>
      <c r="R32" s="4"/>
    </row>
    <row r="33" spans="1:18">
      <c r="A33" s="4"/>
      <c r="B33" s="4"/>
      <c r="C33" s="4"/>
      <c r="D33" s="4"/>
      <c r="E33" s="4"/>
      <c r="F33" s="4"/>
      <c r="G33" s="4"/>
      <c r="H33" s="4"/>
      <c r="I33" s="4"/>
      <c r="J33" s="4"/>
      <c r="K33" s="4"/>
      <c r="L33" s="4"/>
      <c r="M33" s="4"/>
      <c r="N33" s="4"/>
      <c r="O33" s="4"/>
      <c r="P33" s="106"/>
      <c r="Q33" s="105"/>
      <c r="R33" s="4"/>
    </row>
    <row r="34" spans="1:18">
      <c r="A34" s="4"/>
      <c r="B34" s="4"/>
      <c r="C34" s="4"/>
      <c r="D34" s="4"/>
      <c r="E34" s="4"/>
      <c r="F34" s="4"/>
      <c r="G34" s="4"/>
      <c r="H34" s="4"/>
      <c r="I34" s="4"/>
      <c r="J34" s="4"/>
      <c r="K34" s="4"/>
      <c r="L34" s="4"/>
      <c r="M34" s="4"/>
      <c r="N34" s="4"/>
      <c r="O34" s="4"/>
      <c r="P34" s="106"/>
      <c r="Q34" s="105"/>
      <c r="R34" s="4"/>
    </row>
    <row r="35" spans="1:18">
      <c r="A35" s="4"/>
      <c r="B35" s="4"/>
      <c r="C35" s="4"/>
      <c r="D35" s="4"/>
      <c r="E35" s="4"/>
      <c r="F35" s="4"/>
      <c r="G35" s="4"/>
      <c r="H35" s="4"/>
      <c r="I35" s="4"/>
      <c r="J35" s="4"/>
      <c r="K35" s="4"/>
      <c r="L35" s="4"/>
      <c r="M35" s="4"/>
      <c r="N35" s="4"/>
      <c r="O35" s="4"/>
      <c r="P35" s="106"/>
      <c r="Q35" s="105"/>
      <c r="R35" s="4"/>
    </row>
    <row r="36" spans="1:18" ht="15">
      <c r="J36" s="101"/>
      <c r="K36" s="102"/>
      <c r="L36" s="102"/>
      <c r="M36" s="103"/>
      <c r="N36" s="102"/>
      <c r="O36" s="102"/>
      <c r="P36" s="106"/>
      <c r="Q36" s="102"/>
      <c r="R36" s="102"/>
    </row>
    <row r="37" spans="1:18" ht="15">
      <c r="J37" s="101"/>
      <c r="K37" s="102"/>
      <c r="L37" s="102"/>
      <c r="M37" s="103"/>
      <c r="N37" s="102"/>
      <c r="O37" s="102"/>
      <c r="P37" s="106"/>
      <c r="Q37" s="102"/>
      <c r="R37" s="102"/>
    </row>
    <row r="38" spans="1:18">
      <c r="P38" s="106"/>
    </row>
    <row r="39" spans="1:18">
      <c r="P39" s="106"/>
    </row>
    <row r="40" spans="1:18">
      <c r="P40" s="106"/>
    </row>
    <row r="41" spans="1:18">
      <c r="P41" s="106"/>
    </row>
    <row r="42" spans="1:18">
      <c r="P42" s="106"/>
    </row>
    <row r="43" spans="1:18">
      <c r="P43" s="106"/>
    </row>
    <row r="44" spans="1:18">
      <c r="P44" s="106"/>
    </row>
    <row r="45" spans="1:18">
      <c r="P45" s="106"/>
    </row>
    <row r="46" spans="1:18">
      <c r="P46" s="106"/>
    </row>
    <row r="47" spans="1:18">
      <c r="P47" s="106"/>
    </row>
    <row r="48" spans="1:18">
      <c r="P48" s="106"/>
    </row>
  </sheetData>
  <sheetProtection sheet="1" objects="1" scenarios="1"/>
  <protectedRanges>
    <protectedRange sqref="L2:L3" name="Range1"/>
  </protectedRanges>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0" zoomScaleNormal="90" workbookViewId="0">
      <selection activeCell="R1" sqref="R1"/>
    </sheetView>
  </sheetViews>
  <sheetFormatPr defaultRowHeight="12.75"/>
  <sheetData/>
  <sheetProtection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Model data</vt:lpstr>
      <vt:lpstr>Method</vt:lpstr>
      <vt:lpstr>Mortality rates</vt:lpstr>
      <vt:lpstr>Graphs</vt:lpstr>
    </vt:vector>
  </TitlesOfParts>
  <Company>University of Cape Town (Commerce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Dorrrington</dc:creator>
  <cp:lastModifiedBy>Anne</cp:lastModifiedBy>
  <dcterms:created xsi:type="dcterms:W3CDTF">2011-09-04T06:06:40Z</dcterms:created>
  <dcterms:modified xsi:type="dcterms:W3CDTF">2017-03-22T10:13:03Z</dcterms:modified>
</cp:coreProperties>
</file>