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7400" windowHeight="7875"/>
  </bookViews>
  <sheets>
    <sheet name="Introduction" sheetId="4" r:id="rId1"/>
    <sheet name="Modèles" sheetId="5" r:id="rId2"/>
    <sheet name="Méthode" sheetId="1" r:id="rId3"/>
    <sheet name="Taux de mortalité" sheetId="6" r:id="rId4"/>
    <sheet name="Graphique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Méthode!#REF!</definedName>
    <definedName name="solver_adj" localSheetId="3" hidden="1">'Taux de mortalité'!#REF!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Méthode!#REF!</definedName>
    <definedName name="solver_opt" localSheetId="3" hidden="1">'Taux de mortalité'!#REF!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H24" i="6" l="1"/>
  <c r="R6" i="6"/>
  <c r="Q6" i="6"/>
  <c r="P6" i="6"/>
  <c r="O6" i="6"/>
  <c r="N6" i="6"/>
  <c r="M6" i="6"/>
  <c r="L6" i="6"/>
  <c r="K6" i="6"/>
  <c r="J6" i="6"/>
  <c r="I6" i="6"/>
  <c r="H6" i="6"/>
  <c r="G6" i="6"/>
  <c r="F6" i="6"/>
  <c r="E6" i="6"/>
  <c r="D6" i="6"/>
  <c r="B6" i="6"/>
  <c r="A6" i="6"/>
  <c r="B3" i="6"/>
  <c r="B1" i="6"/>
  <c r="F27" i="1"/>
  <c r="E27" i="1"/>
  <c r="D27" i="1"/>
  <c r="C27" i="1"/>
  <c r="J25" i="1"/>
  <c r="I25" i="1"/>
  <c r="H25" i="1"/>
  <c r="G25" i="1"/>
  <c r="A25" i="1"/>
  <c r="J24" i="1"/>
  <c r="I24" i="1"/>
  <c r="H24" i="1"/>
  <c r="G24" i="1"/>
  <c r="B24" i="1"/>
  <c r="A24" i="1"/>
  <c r="J23" i="1"/>
  <c r="I23" i="1"/>
  <c r="H23" i="1"/>
  <c r="G23" i="1"/>
  <c r="B23" i="1"/>
  <c r="A23" i="1"/>
  <c r="J22" i="1"/>
  <c r="I22" i="1"/>
  <c r="H22" i="1"/>
  <c r="G22" i="1"/>
  <c r="B22" i="1"/>
  <c r="A22" i="1"/>
  <c r="J21" i="1"/>
  <c r="I21" i="1"/>
  <c r="H21" i="1"/>
  <c r="G21" i="1"/>
  <c r="B21" i="1"/>
  <c r="A21" i="1"/>
  <c r="J20" i="1"/>
  <c r="I20" i="1"/>
  <c r="H20" i="1"/>
  <c r="G20" i="1"/>
  <c r="L19" i="1"/>
  <c r="J19" i="1"/>
  <c r="I19" i="1"/>
  <c r="H19" i="1"/>
  <c r="G19" i="1"/>
  <c r="J18" i="1"/>
  <c r="I18" i="1"/>
  <c r="H18" i="1"/>
  <c r="G18" i="1"/>
  <c r="J17" i="1"/>
  <c r="I17" i="1"/>
  <c r="H17" i="1"/>
  <c r="G17"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N8" i="1"/>
  <c r="J8" i="1"/>
  <c r="I8" i="1"/>
  <c r="H8" i="1"/>
  <c r="G8" i="1"/>
  <c r="R7" i="1"/>
  <c r="Q7" i="1"/>
  <c r="P7" i="1"/>
  <c r="O7" i="1"/>
  <c r="N7" i="1"/>
  <c r="M7" i="1"/>
  <c r="L7" i="1"/>
  <c r="K7" i="1"/>
  <c r="J7" i="1"/>
  <c r="I7" i="1"/>
  <c r="H7" i="1"/>
  <c r="G7" i="1"/>
  <c r="F7" i="1"/>
  <c r="E7" i="1"/>
  <c r="D7" i="1"/>
  <c r="C7" i="1"/>
  <c r="B7" i="1"/>
  <c r="A7" i="1"/>
  <c r="O3" i="1"/>
  <c r="G3" i="1"/>
  <c r="C3" i="1"/>
  <c r="G2" i="1"/>
  <c r="C1" i="1"/>
  <c r="B42" i="5"/>
  <c r="C42" i="5" s="1"/>
  <c r="B41" i="5"/>
  <c r="C41" i="5" s="1"/>
  <c r="D41" i="5" s="1"/>
  <c r="K23" i="6" s="1"/>
  <c r="C40" i="5"/>
  <c r="B40" i="5"/>
  <c r="B39" i="5"/>
  <c r="C39" i="5" s="1"/>
  <c r="B38" i="5"/>
  <c r="C38" i="5" s="1"/>
  <c r="D38" i="5" s="1"/>
  <c r="K20" i="6" s="1"/>
  <c r="B37" i="5"/>
  <c r="C37" i="5" s="1"/>
  <c r="C36" i="5"/>
  <c r="B36" i="5"/>
  <c r="B35" i="5"/>
  <c r="C35" i="5" s="1"/>
  <c r="D35" i="5" s="1"/>
  <c r="K17" i="6" s="1"/>
  <c r="B34" i="5"/>
  <c r="C34" i="5" s="1"/>
  <c r="B33" i="5"/>
  <c r="C33" i="5" s="1"/>
  <c r="D33" i="5" s="1"/>
  <c r="K15" i="6" s="1"/>
  <c r="C32" i="5"/>
  <c r="B32" i="5"/>
  <c r="B31" i="5"/>
  <c r="C31" i="5" s="1"/>
  <c r="B30" i="5"/>
  <c r="C30" i="5" s="1"/>
  <c r="D30" i="5" s="1"/>
  <c r="K12" i="6" s="1"/>
  <c r="B29" i="5"/>
  <c r="C29" i="5" s="1"/>
  <c r="C28" i="5"/>
  <c r="D28" i="5" s="1"/>
  <c r="K10" i="6" s="1"/>
  <c r="B28" i="5"/>
  <c r="B27" i="5"/>
  <c r="C27" i="5" s="1"/>
  <c r="D27" i="5" s="1"/>
  <c r="K9" i="6" s="1"/>
  <c r="B26" i="5"/>
  <c r="C26" i="5" s="1"/>
  <c r="D26" i="5" s="1"/>
  <c r="K8" i="6" s="1"/>
  <c r="B23" i="5"/>
  <c r="K5" i="6" s="1"/>
  <c r="L12" i="6" l="1"/>
  <c r="L17" i="6"/>
  <c r="L9" i="6"/>
  <c r="L18" i="6"/>
  <c r="L10" i="6"/>
  <c r="L15" i="6"/>
  <c r="L24" i="6"/>
  <c r="L23" i="6"/>
  <c r="L22" i="6"/>
  <c r="L20" i="6"/>
  <c r="D29" i="5"/>
  <c r="K11" i="6" s="1"/>
  <c r="L11" i="6" s="1"/>
  <c r="D32" i="5"/>
  <c r="K14" i="6" s="1"/>
  <c r="L14" i="6" s="1"/>
  <c r="D39" i="5"/>
  <c r="K21" i="6" s="1"/>
  <c r="L21" i="6" s="1"/>
  <c r="D42" i="5"/>
  <c r="K24" i="6" s="1"/>
  <c r="D36" i="5"/>
  <c r="K18" i="6" s="1"/>
  <c r="D31" i="5"/>
  <c r="K13" i="6" s="1"/>
  <c r="L13" i="6" s="1"/>
  <c r="D34" i="5"/>
  <c r="K16" i="6" s="1"/>
  <c r="L16" i="6" s="1"/>
  <c r="D37" i="5"/>
  <c r="K19" i="6" s="1"/>
  <c r="L19" i="6" s="1"/>
  <c r="D40" i="5"/>
  <c r="K22" i="6" s="1"/>
  <c r="K25" i="1"/>
  <c r="K9" i="1"/>
  <c r="K10" i="1"/>
  <c r="K11" i="1"/>
  <c r="K12" i="1"/>
  <c r="K13" i="1"/>
  <c r="K14" i="1"/>
  <c r="K15" i="1"/>
  <c r="K16" i="1"/>
  <c r="K17" i="1"/>
  <c r="L18" i="1"/>
  <c r="N19" i="1"/>
  <c r="L20" i="1"/>
  <c r="K21" i="1"/>
  <c r="L22" i="1"/>
  <c r="K23" i="1"/>
  <c r="L24" i="1"/>
  <c r="K24" i="1"/>
  <c r="K22" i="1"/>
  <c r="K20" i="1"/>
  <c r="K19" i="1"/>
  <c r="M19" i="1" s="1"/>
  <c r="P19" i="1" s="1"/>
  <c r="K18" i="1"/>
  <c r="K8" i="1"/>
  <c r="L9" i="1"/>
  <c r="L10" i="1"/>
  <c r="L11" i="1"/>
  <c r="L12" i="1"/>
  <c r="L13" i="1"/>
  <c r="L14" i="1"/>
  <c r="L15" i="1"/>
  <c r="L16" i="1"/>
  <c r="L17" i="1"/>
  <c r="L21" i="1"/>
  <c r="L23" i="1"/>
  <c r="M23" i="1" l="1"/>
  <c r="O23" i="1"/>
  <c r="N23" i="1"/>
  <c r="M21" i="1"/>
  <c r="N21" i="1"/>
  <c r="O21" i="1"/>
  <c r="O14" i="1"/>
  <c r="N14" i="1"/>
  <c r="M14" i="1"/>
  <c r="P14" i="1" s="1"/>
  <c r="O10" i="1"/>
  <c r="N10" i="1"/>
  <c r="M10" i="1"/>
  <c r="O22" i="1"/>
  <c r="M22" i="1"/>
  <c r="N22" i="1"/>
  <c r="O18" i="1"/>
  <c r="M18" i="1"/>
  <c r="P18" i="1" s="1"/>
  <c r="N18" i="1"/>
  <c r="K25" i="6"/>
  <c r="O15" i="1"/>
  <c r="N15" i="1"/>
  <c r="M15" i="1"/>
  <c r="O17" i="1"/>
  <c r="N17" i="1"/>
  <c r="M17" i="1"/>
  <c r="P17" i="1" s="1"/>
  <c r="M13" i="1"/>
  <c r="P13" i="1" s="1"/>
  <c r="O13" i="1"/>
  <c r="N13" i="1"/>
  <c r="M9" i="1"/>
  <c r="O9" i="1"/>
  <c r="N9" i="1"/>
  <c r="O11" i="1"/>
  <c r="N11" i="1"/>
  <c r="M11" i="1"/>
  <c r="O16" i="1"/>
  <c r="N16" i="1"/>
  <c r="M16" i="1"/>
  <c r="P16" i="1" s="1"/>
  <c r="O12" i="1"/>
  <c r="N12" i="1"/>
  <c r="M12" i="1"/>
  <c r="O24" i="1"/>
  <c r="M24" i="1"/>
  <c r="N24" i="1"/>
  <c r="O20" i="1"/>
  <c r="M20" i="1"/>
  <c r="P20" i="1" s="1"/>
  <c r="N20" i="1"/>
  <c r="O19" i="1"/>
  <c r="K26" i="6" l="1"/>
  <c r="L25" i="6"/>
  <c r="P24" i="1"/>
  <c r="P11" i="1"/>
  <c r="P15" i="1"/>
  <c r="P22" i="1"/>
  <c r="P9" i="1"/>
  <c r="P23" i="1"/>
  <c r="P12" i="1"/>
  <c r="P10" i="1"/>
  <c r="P21" i="1"/>
  <c r="Q32" i="1"/>
  <c r="K27" i="6" l="1"/>
  <c r="L27" i="6" s="1"/>
  <c r="L26" i="6"/>
  <c r="Q27" i="1"/>
  <c r="Q23" i="1" l="1"/>
  <c r="R23" i="1" s="1"/>
  <c r="Q21" i="1"/>
  <c r="R21" i="1" s="1"/>
  <c r="Q19" i="1"/>
  <c r="R19" i="1" s="1"/>
  <c r="Q17" i="1"/>
  <c r="R17" i="1" s="1"/>
  <c r="Q16" i="1"/>
  <c r="R16" i="1" s="1"/>
  <c r="Q15" i="1"/>
  <c r="R15" i="1" s="1"/>
  <c r="Q14" i="1"/>
  <c r="R14" i="1" s="1"/>
  <c r="Q12" i="1"/>
  <c r="R12" i="1" s="1"/>
  <c r="Q11" i="1"/>
  <c r="R11" i="1" s="1"/>
  <c r="Q10" i="1"/>
  <c r="R10" i="1" s="1"/>
  <c r="Q24" i="1"/>
  <c r="R24" i="1" s="1"/>
  <c r="Q22" i="1"/>
  <c r="R22" i="1" s="1"/>
  <c r="Q20" i="1"/>
  <c r="R20" i="1" s="1"/>
  <c r="Q18" i="1"/>
  <c r="R18" i="1" s="1"/>
  <c r="Q8" i="1"/>
  <c r="Q13" i="1"/>
  <c r="R13" i="1" s="1"/>
  <c r="Q9" i="1"/>
  <c r="R9" i="1" s="1"/>
  <c r="Q28" i="1"/>
  <c r="Q29" i="1" s="1"/>
  <c r="B24" i="6" l="1"/>
  <c r="B23" i="6"/>
  <c r="B22" i="6"/>
  <c r="B21" i="6"/>
  <c r="B20" i="6"/>
  <c r="B19" i="6"/>
  <c r="B15" i="6"/>
  <c r="B11" i="6"/>
  <c r="B8" i="6"/>
  <c r="B16" i="6"/>
  <c r="B12" i="6"/>
  <c r="B17" i="6"/>
  <c r="B13" i="6"/>
  <c r="B9" i="6"/>
  <c r="B18" i="6"/>
  <c r="Q30" i="1"/>
  <c r="B10" i="6"/>
  <c r="B14" i="6"/>
  <c r="C16" i="6" l="1"/>
  <c r="E16" i="6" s="1"/>
  <c r="C12" i="6"/>
  <c r="C17" i="6"/>
  <c r="E17" i="6" s="1"/>
  <c r="C13" i="6"/>
  <c r="E13" i="6" s="1"/>
  <c r="C9" i="6"/>
  <c r="E9" i="6" s="1"/>
  <c r="C18" i="6"/>
  <c r="C14" i="6"/>
  <c r="E14" i="6" s="1"/>
  <c r="C10" i="6"/>
  <c r="E10" i="6" s="1"/>
  <c r="C24" i="6"/>
  <c r="E24" i="6" s="1"/>
  <c r="C23" i="6"/>
  <c r="C22" i="6"/>
  <c r="E22" i="6" s="1"/>
  <c r="C21" i="6"/>
  <c r="E21" i="6" s="1"/>
  <c r="C20" i="6"/>
  <c r="E20" i="6" s="1"/>
  <c r="C19" i="6"/>
  <c r="C8" i="6"/>
  <c r="E8" i="6" s="1"/>
  <c r="C15" i="6"/>
  <c r="E15" i="6" s="1"/>
  <c r="C11" i="6"/>
  <c r="E11" i="6" s="1"/>
  <c r="E18" i="6"/>
  <c r="E12" i="6"/>
  <c r="E19" i="6"/>
  <c r="E23" i="6"/>
  <c r="Q31" i="1"/>
  <c r="Q33" i="1" s="1"/>
  <c r="B26" i="6"/>
  <c r="D13" i="6" l="1"/>
  <c r="F13" i="6" s="1"/>
  <c r="H13" i="6" s="1"/>
  <c r="D10" i="6"/>
  <c r="F10" i="6" s="1"/>
  <c r="H10" i="6" s="1"/>
  <c r="D21" i="6"/>
  <c r="F21" i="6" s="1"/>
  <c r="D11" i="6"/>
  <c r="F11" i="6" s="1"/>
  <c r="H11" i="6" s="1"/>
  <c r="D9" i="6"/>
  <c r="F9" i="6" s="1"/>
  <c r="H9" i="6" s="1"/>
  <c r="D24" i="6"/>
  <c r="F24" i="6" s="1"/>
  <c r="D20" i="6"/>
  <c r="F20" i="6" s="1"/>
  <c r="H20" i="6" s="1"/>
  <c r="D8" i="6"/>
  <c r="D18" i="6"/>
  <c r="F18" i="6" s="1"/>
  <c r="H18" i="6" s="1"/>
  <c r="D23" i="6"/>
  <c r="F23" i="6" s="1"/>
  <c r="H23" i="6" s="1"/>
  <c r="D19" i="6"/>
  <c r="F19" i="6" s="1"/>
  <c r="H19" i="6" s="1"/>
  <c r="D12" i="6"/>
  <c r="F12" i="6" s="1"/>
  <c r="H12" i="6" s="1"/>
  <c r="D17" i="6"/>
  <c r="F17" i="6" s="1"/>
  <c r="H17" i="6" s="1"/>
  <c r="D14" i="6"/>
  <c r="F14" i="6" s="1"/>
  <c r="H14" i="6" s="1"/>
  <c r="D22" i="6"/>
  <c r="F22" i="6" s="1"/>
  <c r="D15" i="6"/>
  <c r="F15" i="6" s="1"/>
  <c r="H15" i="6" s="1"/>
  <c r="D16" i="6"/>
  <c r="F16" i="6" s="1"/>
  <c r="H16" i="6" s="1"/>
  <c r="A21" i="6"/>
  <c r="A24" i="6"/>
  <c r="A20" i="6"/>
  <c r="A23" i="6"/>
  <c r="A22" i="6"/>
  <c r="C26" i="6"/>
  <c r="H21" i="6" l="1"/>
  <c r="H22" i="6"/>
  <c r="D26" i="6"/>
  <c r="F8" i="6"/>
  <c r="H8" i="6" s="1"/>
  <c r="I9" i="6" s="1"/>
  <c r="J9" i="6" l="1"/>
  <c r="I10" i="6"/>
  <c r="J10" i="6" l="1"/>
  <c r="I11" i="6"/>
  <c r="J11" i="6" l="1"/>
  <c r="I12" i="6"/>
  <c r="I13" i="6" l="1"/>
  <c r="J12" i="6"/>
  <c r="I14" i="6" l="1"/>
  <c r="J13" i="6"/>
  <c r="J14" i="6" l="1"/>
  <c r="I15" i="6"/>
  <c r="J15" i="6" l="1"/>
  <c r="I16" i="6"/>
  <c r="I17" i="6" l="1"/>
  <c r="J16" i="6"/>
  <c r="I18" i="6" l="1"/>
  <c r="J17" i="6"/>
  <c r="J18" i="6" l="1"/>
  <c r="I19" i="6"/>
  <c r="J19" i="6" l="1"/>
  <c r="I20" i="6"/>
  <c r="J20" i="6" l="1"/>
  <c r="I21" i="6"/>
  <c r="J21" i="6" l="1"/>
  <c r="I22" i="6"/>
  <c r="J22" i="6" l="1"/>
  <c r="I23" i="6"/>
  <c r="J23" i="6" l="1"/>
  <c r="I24" i="6"/>
  <c r="I25" i="6" l="1"/>
  <c r="J25" i="6" s="1"/>
  <c r="J24" i="6"/>
  <c r="N3" i="6"/>
  <c r="N2" i="6"/>
  <c r="M26" i="6" l="1"/>
  <c r="N26" i="6" s="1"/>
  <c r="M15" i="6"/>
  <c r="N15" i="6" s="1"/>
  <c r="M21" i="6"/>
  <c r="N21" i="6" s="1"/>
  <c r="M25" i="6"/>
  <c r="N25" i="6" s="1"/>
  <c r="M9" i="6"/>
  <c r="N9" i="6" s="1"/>
  <c r="M27" i="6"/>
  <c r="N27" i="6" s="1"/>
  <c r="O27" i="6" s="1"/>
  <c r="M18" i="6"/>
  <c r="N18" i="6" s="1"/>
  <c r="M12" i="6"/>
  <c r="N12" i="6" s="1"/>
  <c r="M19" i="6"/>
  <c r="N19" i="6" s="1"/>
  <c r="M22" i="6"/>
  <c r="N22" i="6" s="1"/>
  <c r="M16" i="6"/>
  <c r="N16" i="6" s="1"/>
  <c r="M13" i="6"/>
  <c r="N13" i="6" s="1"/>
  <c r="M10" i="6"/>
  <c r="N10" i="6" s="1"/>
  <c r="M23" i="6"/>
  <c r="N23" i="6" s="1"/>
  <c r="M17" i="6"/>
  <c r="N17" i="6" s="1"/>
  <c r="Q17" i="6" s="1"/>
  <c r="M11" i="6"/>
  <c r="N11" i="6" s="1"/>
  <c r="Q11" i="6" s="1"/>
  <c r="M20" i="6"/>
  <c r="N20" i="6" s="1"/>
  <c r="Q20" i="6" s="1"/>
  <c r="M24" i="6"/>
  <c r="N24" i="6" s="1"/>
  <c r="M14" i="6"/>
  <c r="N14" i="6" s="1"/>
  <c r="Q14" i="6" s="1"/>
  <c r="Q18" i="6" l="1"/>
  <c r="Q24" i="6"/>
  <c r="O26" i="6"/>
  <c r="O25" i="6" s="1"/>
  <c r="P25" i="6" s="1"/>
  <c r="Q25" i="6" s="1"/>
  <c r="Q23" i="6"/>
  <c r="Q13" i="6"/>
  <c r="Q12" i="6"/>
  <c r="Q16" i="6"/>
  <c r="Q21" i="6"/>
  <c r="Q22" i="6"/>
  <c r="Q15" i="6"/>
  <c r="P3" i="6"/>
  <c r="Q10" i="6"/>
  <c r="Q19" i="6"/>
  <c r="P2" i="6"/>
  <c r="Q9" i="6"/>
  <c r="Q8" i="6"/>
  <c r="O24" i="6" l="1"/>
  <c r="P24" i="6" s="1"/>
  <c r="O23" i="6" l="1"/>
  <c r="P23" i="6" s="1"/>
  <c r="O22" i="6" l="1"/>
  <c r="P22" i="6" s="1"/>
  <c r="O21" i="6" l="1"/>
  <c r="O20" i="6" s="1"/>
  <c r="P21" i="6" l="1"/>
  <c r="O19" i="6"/>
  <c r="P20" i="6"/>
  <c r="O18" i="6" l="1"/>
  <c r="P19" i="6"/>
  <c r="P18" i="6" l="1"/>
  <c r="O17" i="6"/>
  <c r="O16" i="6" l="1"/>
  <c r="P17" i="6"/>
  <c r="P16" i="6" l="1"/>
  <c r="O15" i="6"/>
  <c r="O14" i="6" l="1"/>
  <c r="P15" i="6"/>
  <c r="P14" i="6" l="1"/>
  <c r="O13" i="6"/>
  <c r="P13" i="6" l="1"/>
  <c r="O12" i="6"/>
  <c r="O11" i="6" l="1"/>
  <c r="P12" i="6"/>
  <c r="P11" i="6" l="1"/>
  <c r="O10" i="6"/>
  <c r="P10" i="6" l="1"/>
  <c r="O9" i="6"/>
  <c r="P9" i="6" l="1"/>
  <c r="O8" i="6"/>
  <c r="P8" i="6" s="1"/>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Selon le manuel X des Nations Unies, lorsqu'on utilise cette méthode et que les décès ne sont pas centrés au milieu de la période intercensitaire, alors il faut en tenir compte pour l'estimation finale de la complétude et tenir compte de la couverture relatives des deux recensements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AE)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<sst xmlns="http://schemas.openxmlformats.org/spreadsheetml/2006/main" count="140" uniqueCount="111">
  <si>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</si>
  <si>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</si>
  <si>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</si>
  <si>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</si>
  <si>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</si>
  <si>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</si>
  <si>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</si>
  <si>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</si>
  <si>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</si>
  <si>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</si>
  <si>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</si>
  <si>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</si>
  <si>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</si>
  <si>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</si>
  <si>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</si>
  <si>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</si>
  <si>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</si>
  <si>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</si>
  <si>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</si>
  <si>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</si>
  <si>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</si>
  <si>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</si>
  <si>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</si>
  <si>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</si>
  <si>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</si>
  <si>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</si>
  <si>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</si>
  <si>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</si>
  <si>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</si>
  <si>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</si>
  <si>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</si>
  <si>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</si>
  <si>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NM(x+)</t>
  </si>
  <si>
    <t>r(x+)-i(x+)</t>
  </si>
  <si>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</si>
  <si>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</si>
  <si>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</si>
  <si>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</si>
  <si>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</si>
  <si>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</si>
  <si>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</si>
  <si>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</si>
  <si>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</si>
  <si>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</si>
  <si>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</si>
  <si>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</si>
  <si>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</si>
  <si>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</si>
  <si>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</si>
  <si>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d(x+) = X</t>
  </si>
  <si>
    <t>b(x+)</t>
  </si>
  <si>
    <t>b(x+)-r(x+) +i(x+) = Y</t>
  </si>
  <si>
    <t>Cette méthode est décrite dans le document suivant:</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</si>
  <si>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lisser les taux de mortalité corrigés à l'aide d'une table-type de mortalité appropriée (c'est-à-dire qui possède un schéma par âge similaire à celui du pays analysé).</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</si>
  <si>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</si>
  <si>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</si>
  <si>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second recensement (AAAA/MM/JJ) dans la cellule de droite</t>
  </si>
  <si>
    <t>Entrer la date du premier recensement (AAAA/MM/JJ) dans la cellule de droite</t>
  </si>
  <si>
    <r>
      <t xml:space="preserve">Effacer tous les nombres figurant dans les cellules </t>
    </r>
    <r>
      <rPr>
        <b/>
        <sz val="12"/>
        <rFont val="Arial"/>
        <family val="2"/>
      </rPr>
      <t>C8:F25</t>
    </r>
    <r>
      <rPr>
        <sz val="12"/>
        <rFont val="Arial"/>
        <family val="2"/>
      </rPr>
      <t xml:space="preserve"> dans la feuille </t>
    </r>
    <r>
      <rPr>
        <b/>
        <i/>
        <sz val="12"/>
        <rFont val="Arial"/>
        <family val="2"/>
      </rPr>
      <t>Méthode</t>
    </r>
  </si>
  <si>
    <t>Nom du pays / Population:</t>
  </si>
  <si>
    <t>Sexe:</t>
  </si>
  <si>
    <t>Table-type de référence</t>
  </si>
  <si>
    <r>
      <t xml:space="preserve">Analyser la représentation graphique, et choisir l'intervalle des âges sur lesquels on calculera la complétude (cellules </t>
    </r>
    <r>
      <rPr>
        <b/>
        <sz val="12"/>
        <rFont val="Arial"/>
        <family val="2"/>
      </rPr>
      <t>L2 &amp; L3</t>
    </r>
    <r>
      <rPr>
        <sz val="12"/>
        <rFont val="Arial"/>
        <family val="2"/>
      </rPr>
      <t>).</t>
    </r>
  </si>
  <si>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</si>
  <si>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</si>
  <si>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</si>
  <si>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</si>
  <si>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</si>
  <si>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</si>
  <si>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</si>
  <si>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Sexe</t>
  </si>
  <si>
    <t>Afrique du sud</t>
  </si>
  <si>
    <t>Période intercensitaire</t>
  </si>
  <si>
    <t>Date moyenne</t>
  </si>
  <si>
    <t>Intervalle des âges choisi pour l'ajustement de la droite</t>
  </si>
  <si>
    <t>Age minimal</t>
  </si>
  <si>
    <t>Age maximal</t>
  </si>
  <si>
    <t>&lt;-- doit être inférieur à:</t>
  </si>
  <si>
    <t>Residus y-(a+bx)</t>
  </si>
  <si>
    <r>
      <t>Complétude,</t>
    </r>
    <r>
      <rPr>
        <b/>
        <i/>
        <sz val="10"/>
        <rFont val="Arial"/>
        <family val="2"/>
      </rPr>
      <t xml:space="preserve"> C =</t>
    </r>
  </si>
  <si>
    <t>Pays:</t>
  </si>
  <si>
    <t>Corrigé PYL(x,5)</t>
  </si>
  <si>
    <t>Corrigé 5mx</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</si>
  <si>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</si>
  <si>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</si>
  <si>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rPr>
        <b/>
        <sz val="10"/>
        <rFont val="Arial"/>
        <family val="2"/>
      </rPr>
      <t xml:space="preserve">Corrigé </t>
    </r>
    <r>
      <rPr>
        <b/>
        <vertAlign val="subscript"/>
        <sz val="10"/>
        <rFont val="Arial"/>
        <family val="2"/>
      </rPr>
      <t>5</t>
    </r>
    <r>
      <rPr>
        <b/>
        <i/>
        <sz val="10"/>
        <rFont val="Arial"/>
        <family val="2"/>
      </rPr>
      <t>D</t>
    </r>
    <r>
      <rPr>
        <b/>
        <i/>
        <vertAlign val="subscript"/>
        <sz val="10"/>
        <rFont val="Arial"/>
        <family val="2"/>
      </rPr>
      <t>x</t>
    </r>
  </si>
  <si>
    <t>Avertissement</t>
  </si>
  <si>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</si>
  <si>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</si>
  <si>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</si>
  <si>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 xml:space="preserve">Paramètres à entrer: </t>
  </si>
  <si>
    <t>Ajusté depuis:</t>
  </si>
  <si>
    <t>Ajsuté jusqu'à:</t>
  </si>
  <si>
    <r>
      <t xml:space="preserve">S'assurer que toutes les données ont le même groupe d'âge ouvert. Copier et coller les données de la première population dans les cellulles: </t>
    </r>
    <r>
      <rPr>
        <b/>
        <sz val="12"/>
        <rFont val="Arial"/>
        <family val="2"/>
      </rPr>
      <t>C8:C25</t>
    </r>
    <r>
      <rPr>
        <sz val="12"/>
        <rFont val="Arial"/>
        <family val="2"/>
      </rPr>
      <t>, clles de la seconde population en</t>
    </r>
    <r>
      <rPr>
        <b/>
        <sz val="12"/>
        <rFont val="Arial"/>
        <family val="2"/>
      </rPr>
      <t xml:space="preserve"> D8:D25</t>
    </r>
    <r>
      <rPr>
        <sz val="12"/>
        <rFont val="Arial"/>
        <family val="2"/>
      </rPr>
      <t xml:space="preserve">, et les données des décès dans les cellules </t>
    </r>
    <r>
      <rPr>
        <b/>
        <sz val="12"/>
        <rFont val="Arial"/>
        <family val="2"/>
      </rPr>
      <t>E8:E25</t>
    </r>
    <r>
      <rPr>
        <sz val="12"/>
        <rFont val="Arial"/>
        <family val="2"/>
      </rPr>
      <t xml:space="preserve"> de la feuille </t>
    </r>
    <r>
      <rPr>
        <b/>
        <i/>
        <sz val="12"/>
        <rFont val="Arial"/>
        <family val="2"/>
      </rPr>
      <t xml:space="preserve">Méthode. </t>
    </r>
    <r>
      <rPr>
        <sz val="12"/>
        <rFont val="Arial"/>
        <family val="2"/>
      </rPr>
      <t>Si on dipose de données fiables sur les migrations, les entrer dans les cellules</t>
    </r>
    <r>
      <rPr>
        <b/>
        <i/>
        <sz val="12"/>
        <rFont val="Arial"/>
        <family val="2"/>
      </rPr>
      <t xml:space="preserve"> F8:F25.</t>
    </r>
  </si>
  <si>
    <t>Estimation de la mortalité adulte à l'aide de la méthode généralisée de la balance de l'accroissement démographique - Instructions</t>
  </si>
  <si>
    <r>
      <t xml:space="preserve">Entrer dans la cellule </t>
    </r>
    <r>
      <rPr>
        <b/>
        <sz val="12"/>
        <rFont val="Arial"/>
        <family val="2"/>
      </rPr>
      <t>L3</t>
    </r>
    <r>
      <rPr>
        <sz val="12"/>
        <rFont val="Arial"/>
        <family val="2"/>
      </rPr>
      <t xml:space="preserve"> de la feuille </t>
    </r>
    <r>
      <rPr>
        <b/>
        <i/>
        <sz val="12"/>
        <rFont val="Arial"/>
        <family val="2"/>
      </rPr>
      <t>Méthode</t>
    </r>
    <r>
      <rPr>
        <sz val="12"/>
        <rFont val="Arial"/>
        <family val="2"/>
      </rPr>
      <t xml:space="preserve"> la valeur de la fin du dernier intervalle fermé, soit l'âge de début de l'intervalle ouvert moins 1.</t>
    </r>
  </si>
  <si>
    <r>
      <t xml:space="preserve">Les taux de mortalité lissés apparaissent dans les cellules </t>
    </r>
    <r>
      <rPr>
        <b/>
        <sz val="12"/>
        <rFont val="Arial"/>
        <family val="2"/>
      </rPr>
      <t xml:space="preserve">Q8:Q25 </t>
    </r>
    <r>
      <rPr>
        <sz val="12"/>
        <rFont val="Arial"/>
        <family val="2"/>
      </rPr>
      <t xml:space="preserve"> de la feuille </t>
    </r>
    <r>
      <rPr>
        <b/>
        <i/>
        <sz val="12"/>
        <rFont val="Arial"/>
        <family val="2"/>
      </rPr>
      <t>Taux de mortalité.</t>
    </r>
  </si>
  <si>
    <r>
      <t xml:space="preserve">Entrer le nom du pays ou de la population dans la cellule </t>
    </r>
    <r>
      <rPr>
        <b/>
        <sz val="12"/>
        <rFont val="Arial"/>
        <family val="2"/>
      </rPr>
      <t>D9</t>
    </r>
  </si>
  <si>
    <t>Date du premier recensement (AAAA/MM/JJ):</t>
  </si>
  <si>
    <t>Date du second recensement (AAAA/MM/JJ):</t>
  </si>
  <si>
    <t>Femme</t>
  </si>
  <si>
    <t>NU Général</t>
  </si>
  <si>
    <t>Princeton Est</t>
  </si>
  <si>
    <t>Princeton Nord</t>
  </si>
  <si>
    <t>Princeton Sud</t>
  </si>
  <si>
    <t>Princeton Ouest</t>
  </si>
  <si>
    <t>SIDA</t>
  </si>
  <si>
    <t>Autre</t>
  </si>
  <si>
    <r>
      <t xml:space="preserve">L'estimation de la complétude apparaît dans la cellule </t>
    </r>
    <r>
      <rPr>
        <b/>
        <sz val="12"/>
        <rFont val="Arial"/>
        <family val="2"/>
      </rPr>
      <t>Q33</t>
    </r>
    <r>
      <rPr>
        <sz val="12"/>
        <rFont val="Arial"/>
        <family val="2"/>
      </rPr>
      <t xml:space="preserve"> de la feuille </t>
    </r>
    <r>
      <rPr>
        <b/>
        <i/>
        <sz val="12"/>
        <rFont val="Arial"/>
        <family val="2"/>
      </rPr>
      <t>Méthode</t>
    </r>
    <r>
      <rPr>
        <sz val="12"/>
        <rFont val="Arial"/>
        <family val="2"/>
      </rPr>
      <t xml:space="preserve">. </t>
    </r>
  </si>
  <si>
    <r>
      <t xml:space="preserve">Les estimations des taux de mortalité corrigés du sous-enregistrement apparaissent dans les cellules </t>
    </r>
    <r>
      <rPr>
        <b/>
        <sz val="12"/>
        <rFont val="Arial"/>
        <family val="2"/>
      </rPr>
      <t>F8:F24</t>
    </r>
    <r>
      <rPr>
        <sz val="12"/>
        <rFont val="Arial"/>
        <family val="2"/>
      </rPr>
      <t xml:space="preserve"> de la feuille </t>
    </r>
    <r>
      <rPr>
        <b/>
        <i/>
        <sz val="12"/>
        <rFont val="Arial"/>
        <family val="2"/>
      </rPr>
      <t>Taux de Mortalité</t>
    </r>
  </si>
  <si>
    <t>http://demographicestimation.iussp.org/fr/content/la-méthode-généralisée-de-la-balance-de-l’accroissement-démographique</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</si>
</sst>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1">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right/>
      <top style="thin">
        <color indexed="64"/>
      </top>
      <bottom/>
      <diagonal/>
    </border>
    <border>
      <left style="medium">
        <color indexed="64"/>
      </left>
      <right/>
      <top/>
      <bottom style="medium">
        <color indexed="64"/>
      </bottom>
      <diagonal/>
    </border>
  </borders>
  <cellStyleXfs count="15">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3" fillId="0" borderId="0"/>
    <xf numFmtId="173" fontId="16" fillId="0" borderId="0"/>
    <xf numFmtId="164" fontId="21" fillId="0" borderId="0" applyFont="0" applyFill="0" applyBorder="0" applyAlignment="0" applyProtection="0"/>
    <xf numFmtId="0" fontId="22" fillId="0" borderId="0"/>
    <xf numFmtId="168" fontId="23" fillId="0" borderId="0"/>
    <xf numFmtId="0" fontId="3" fillId="0" borderId="0"/>
    <xf numFmtId="0" fontId="3" fillId="0" borderId="0"/>
    <xf numFmtId="168" fontId="23" fillId="0" borderId="0"/>
    <xf numFmtId="164" fontId="3" fillId="0" borderId="0" applyFont="0" applyFill="0" applyBorder="0" applyAlignment="0" applyProtection="0"/>
    <xf numFmtId="0" fontId="12" fillId="0" borderId="0" applyNumberFormat="0" applyFill="0" applyBorder="0" applyAlignment="0" applyProtection="0">
      <alignment vertical="top"/>
      <protection locked="0"/>
    </xf>
  </cellStyleXfs>
  <cellXfs count="122">
    <xf numFmtId="0" fontId="0" fillId="0" borderId="0" xfId="0"/>
    <xf numFmtId="0" fontId="3" fillId="0" borderId="0" xfId="0" applyFont="1"/>
    <xf numFmtId="9" fontId="5" fillId="0" borderId="0" xfId="1" applyFont="1"/>
    <xf numFmtId="0" fontId="3" fillId="0" borderId="0" xfId="3" applyFont="1"/>
    <xf numFmtId="173" fontId="13" fillId="0" borderId="0" xfId="6" applyFont="1"/>
    <xf numFmtId="173" fontId="14" fillId="0" borderId="0" xfId="6" applyFont="1"/>
    <xf numFmtId="173" fontId="8" fillId="0" borderId="0" xfId="6" applyFont="1" applyAlignment="1">
      <alignment horizontal="center"/>
    </xf>
    <xf numFmtId="173" fontId="13" fillId="0" borderId="0" xfId="6" applyFont="1" applyAlignment="1">
      <alignment horizontal="center"/>
    </xf>
    <xf numFmtId="173" fontId="13" fillId="4" borderId="2" xfId="6" applyFont="1" applyFill="1" applyBorder="1" applyAlignment="1" applyProtection="1">
      <alignment horizontal="center"/>
      <protection hidden="1"/>
    </xf>
    <xf numFmtId="1" fontId="3" fillId="4" borderId="0" xfId="6" applyNumberFormat="1" applyFont="1" applyFill="1" applyBorder="1" applyAlignment="1" applyProtection="1">
      <alignment horizontal="center"/>
      <protection hidden="1"/>
    </xf>
    <xf numFmtId="168" fontId="3" fillId="4" borderId="0" xfId="6" applyNumberFormat="1" applyFont="1" applyFill="1" applyBorder="1" applyProtection="1">
      <protection hidden="1"/>
    </xf>
    <xf numFmtId="168" fontId="3" fillId="4" borderId="11" xfId="6" applyNumberFormat="1" applyFont="1" applyFill="1" applyBorder="1" applyProtection="1">
      <protection hidden="1"/>
    </xf>
    <xf numFmtId="176" fontId="3" fillId="3" borderId="0" xfId="6" applyNumberFormat="1" applyFont="1" applyFill="1" applyAlignment="1" applyProtection="1">
      <alignment horizontal="right"/>
      <protection locked="0"/>
    </xf>
    <xf numFmtId="1" fontId="3" fillId="4" borderId="1" xfId="6" applyNumberFormat="1" applyFont="1" applyFill="1" applyBorder="1" applyAlignment="1" applyProtection="1">
      <alignment horizontal="center"/>
      <protection hidden="1"/>
    </xf>
    <xf numFmtId="168" fontId="3" fillId="4" borderId="1" xfId="6" applyNumberFormat="1" applyFont="1" applyFill="1" applyBorder="1" applyProtection="1">
      <protection hidden="1"/>
    </xf>
    <xf numFmtId="176" fontId="3" fillId="3" borderId="1" xfId="6" applyNumberFormat="1" applyFont="1" applyFill="1" applyBorder="1" applyAlignment="1" applyProtection="1">
      <alignment horizontal="right"/>
      <protection locked="0"/>
    </xf>
    <xf numFmtId="173" fontId="13" fillId="0" borderId="0" xfId="6" applyFont="1" applyAlignment="1" applyProtection="1">
      <alignment horizontal="left"/>
    </xf>
    <xf numFmtId="165" fontId="14" fillId="0" borderId="0" xfId="6" applyNumberFormat="1" applyFont="1"/>
    <xf numFmtId="173" fontId="3" fillId="0" borderId="0" xfId="6" applyFont="1"/>
    <xf numFmtId="173" fontId="18" fillId="4" borderId="11" xfId="6" applyFont="1" applyFill="1" applyBorder="1"/>
    <xf numFmtId="173" fontId="18" fillId="4" borderId="11"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4" fillId="4" borderId="1" xfId="6" applyFont="1" applyFill="1" applyBorder="1"/>
    <xf numFmtId="168" fontId="18" fillId="4" borderId="0" xfId="6" applyNumberFormat="1" applyFont="1" applyFill="1" applyBorder="1" applyAlignment="1" applyProtection="1">
      <alignment horizontal="center"/>
    </xf>
    <xf numFmtId="168" fontId="3" fillId="4" borderId="11" xfId="6" applyNumberFormat="1" applyFont="1" applyFill="1" applyBorder="1" applyProtection="1"/>
    <xf numFmtId="168" fontId="3" fillId="4" borderId="0" xfId="6" applyNumberFormat="1" applyFont="1" applyFill="1" applyBorder="1" applyProtection="1"/>
    <xf numFmtId="168" fontId="3" fillId="4" borderId="1" xfId="6"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4" fillId="0" borderId="0" xfId="0" applyFont="1"/>
    <xf numFmtId="0" fontId="25" fillId="0" borderId="0" xfId="0" applyFont="1"/>
    <xf numFmtId="1" fontId="3" fillId="0" borderId="0" xfId="0" applyNumberFormat="1" applyFont="1"/>
    <xf numFmtId="17" fontId="3" fillId="0" borderId="0" xfId="0" applyNumberFormat="1" applyFont="1"/>
    <xf numFmtId="1" fontId="26" fillId="0" borderId="2" xfId="0" applyNumberFormat="1" applyFont="1" applyBorder="1" applyAlignment="1" applyProtection="1">
      <alignment horizontal="center"/>
    </xf>
    <xf numFmtId="1" fontId="27"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29" fillId="0" borderId="0" xfId="0" applyFont="1"/>
    <xf numFmtId="177" fontId="3" fillId="0" borderId="0" xfId="0" applyNumberFormat="1" applyFont="1"/>
    <xf numFmtId="0" fontId="26"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6" fillId="0" borderId="2" xfId="0" quotePrefix="1" applyFont="1" applyBorder="1" applyAlignment="1">
      <alignment wrapText="1"/>
    </xf>
    <xf numFmtId="0" fontId="26" fillId="0" borderId="2" xfId="0" applyFont="1" applyBorder="1" applyAlignment="1">
      <alignment wrapText="1"/>
    </xf>
    <xf numFmtId="0" fontId="3" fillId="0" borderId="0" xfId="3" applyFont="1" applyBorder="1"/>
    <xf numFmtId="0" fontId="24" fillId="0" borderId="0" xfId="3" applyFont="1"/>
    <xf numFmtId="0" fontId="25"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5" fillId="0" borderId="0" xfId="3" applyNumberFormat="1" applyFont="1"/>
    <xf numFmtId="1" fontId="26" fillId="0" borderId="2" xfId="3" applyNumberFormat="1" applyFont="1" applyBorder="1" applyAlignment="1" applyProtection="1">
      <alignment horizontal="center"/>
    </xf>
    <xf numFmtId="1" fontId="27"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6"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3"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0"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3" borderId="8" xfId="0" applyFont="1" applyFill="1" applyBorder="1" applyAlignment="1" applyProtection="1">
      <alignment horizontal="center"/>
      <protection locked="0"/>
    </xf>
    <xf numFmtId="0" fontId="14" fillId="3" borderId="9" xfId="0" applyFont="1" applyFill="1" applyBorder="1" applyAlignment="1" applyProtection="1">
      <alignment horizontal="center"/>
      <protection locked="0"/>
    </xf>
    <xf numFmtId="175" fontId="14" fillId="3" borderId="9" xfId="0" applyNumberFormat="1" applyFont="1" applyFill="1" applyBorder="1" applyAlignment="1" applyProtection="1">
      <alignment horizontal="center"/>
      <protection locked="0"/>
    </xf>
    <xf numFmtId="175" fontId="14" fillId="3" borderId="10" xfId="0" applyNumberFormat="1" applyFont="1" applyFill="1" applyBorder="1" applyAlignment="1" applyProtection="1">
      <alignment horizontal="center"/>
      <protection locked="0"/>
    </xf>
    <xf numFmtId="0" fontId="7" fillId="0" borderId="0" xfId="3" applyFont="1" applyProtection="1"/>
    <xf numFmtId="0" fontId="3" fillId="0" borderId="0" xfId="3" applyFont="1" applyProtection="1"/>
    <xf numFmtId="0" fontId="3" fillId="0" borderId="0" xfId="3" applyFont="1" applyAlignment="1" applyProtection="1">
      <alignment wrapText="1"/>
    </xf>
    <xf numFmtId="0" fontId="13" fillId="0" borderId="0" xfId="3" applyFont="1" applyProtection="1"/>
    <xf numFmtId="0" fontId="14" fillId="0" borderId="0" xfId="3" applyFont="1" applyAlignment="1" applyProtection="1"/>
    <xf numFmtId="0" fontId="14" fillId="0" borderId="0" xfId="3" applyFont="1" applyAlignment="1" applyProtection="1">
      <alignment horizontal="left" wrapText="1"/>
    </xf>
    <xf numFmtId="0" fontId="14" fillId="0" borderId="7" xfId="0" applyFont="1" applyFill="1" applyBorder="1" applyProtection="1"/>
    <xf numFmtId="0" fontId="14" fillId="0" borderId="0" xfId="3" applyFont="1" applyProtection="1"/>
    <xf numFmtId="0" fontId="14" fillId="0" borderId="4" xfId="0" applyFont="1" applyFill="1" applyBorder="1" applyProtection="1"/>
    <xf numFmtId="0" fontId="14" fillId="0" borderId="0" xfId="3" applyFont="1" applyAlignment="1" applyProtection="1">
      <alignment vertical="top"/>
    </xf>
    <xf numFmtId="0" fontId="14" fillId="0" borderId="0" xfId="3" applyFont="1" applyAlignment="1" applyProtection="1">
      <alignment vertical="top" wrapText="1"/>
    </xf>
    <xf numFmtId="0" fontId="14" fillId="0" borderId="0" xfId="3" applyFont="1" applyAlignment="1" applyProtection="1">
      <alignment wrapText="1"/>
    </xf>
    <xf numFmtId="0" fontId="7" fillId="0" borderId="0" xfId="3" applyFont="1" applyAlignment="1" applyProtection="1">
      <alignment wrapText="1"/>
    </xf>
    <xf numFmtId="0" fontId="7" fillId="0" borderId="4" xfId="3" applyFont="1" applyBorder="1" applyProtection="1"/>
    <xf numFmtId="0" fontId="14" fillId="0" borderId="0" xfId="0" applyFont="1" applyAlignment="1" applyProtection="1">
      <alignment horizontal="left" wrapText="1"/>
    </xf>
    <xf numFmtId="1" fontId="27" fillId="0" borderId="2" xfId="0" applyNumberFormat="1" applyFont="1" applyBorder="1" applyAlignment="1" applyProtection="1">
      <alignment horizontal="center" wrapText="1"/>
    </xf>
    <xf numFmtId="0" fontId="3" fillId="0" borderId="0" xfId="3" applyFont="1" applyAlignment="1">
      <alignment horizontal="right"/>
    </xf>
    <xf numFmtId="0" fontId="7" fillId="0" borderId="12" xfId="3" applyFont="1" applyBorder="1" applyProtection="1"/>
    <xf numFmtId="173" fontId="13" fillId="4" borderId="2" xfId="6" applyFont="1" applyFill="1" applyBorder="1" applyAlignment="1" applyProtection="1">
      <alignment horizontal="right" wrapText="1"/>
      <protection hidden="1"/>
    </xf>
    <xf numFmtId="0" fontId="14" fillId="0" borderId="0" xfId="0" applyFont="1" applyFill="1" applyBorder="1" applyAlignment="1" applyProtection="1">
      <alignment horizontal="center"/>
      <protection locked="0"/>
    </xf>
    <xf numFmtId="0" fontId="13" fillId="2" borderId="3" xfId="5" applyFont="1" applyFill="1" applyBorder="1" applyAlignment="1" applyProtection="1">
      <alignment horizontal="center" wrapText="1"/>
    </xf>
    <xf numFmtId="0" fontId="3" fillId="0" borderId="0" xfId="3" applyAlignment="1" applyProtection="1">
      <alignment wrapText="1"/>
    </xf>
    <xf numFmtId="0" fontId="14" fillId="0" borderId="0" xfId="5" applyFont="1" applyFill="1" applyAlignment="1" applyProtection="1">
      <alignment horizontal="left"/>
    </xf>
    <xf numFmtId="173" fontId="12" fillId="0" borderId="0" xfId="14" applyNumberFormat="1" applyFill="1" applyBorder="1" applyAlignment="1" applyProtection="1">
      <alignment horizontal="left"/>
      <protection locked="0"/>
    </xf>
    <xf numFmtId="0" fontId="14" fillId="0" borderId="0" xfId="3" applyFont="1" applyAlignment="1" applyProtection="1">
      <alignment horizontal="left" vertical="top" wrapText="1"/>
    </xf>
    <xf numFmtId="0" fontId="13" fillId="0" borderId="5" xfId="0" applyFont="1" applyBorder="1" applyAlignment="1" applyProtection="1">
      <alignment horizontal="center"/>
    </xf>
    <xf numFmtId="0" fontId="13" fillId="0" borderId="6" xfId="0" applyFont="1" applyBorder="1" applyAlignment="1" applyProtection="1">
      <alignment horizontal="center"/>
    </xf>
  </cellXfs>
  <cellStyles count="15">
    <cellStyle name="Comma" xfId="4" builtinId="3"/>
    <cellStyle name="Comma 2" xfId="13"/>
    <cellStyle name="Comma 3" xfId="7"/>
    <cellStyle name="Hyperlink 3" xfId="14"/>
    <cellStyle name="Normal" xfId="0" builtinId="0"/>
    <cellStyle name="Normal 2" xfId="3"/>
    <cellStyle name="Normal 2 2" xfId="2"/>
    <cellStyle name="Normal 2 3" xfId="8"/>
    <cellStyle name="Normal 2 4" xfId="9"/>
    <cellStyle name="Normal 3" xfId="6"/>
    <cellStyle name="Normal 3 2" xfId="10"/>
    <cellStyle name="Normal 3 2 2" xfId="5"/>
    <cellStyle name="Normal 3 3" xfId="11"/>
    <cellStyle name="Normal 4" xfId="12"/>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31"/>
          <c:y val="8.7542375389230098E-2"/>
          <c:w val="0.74238960771645368"/>
          <c:h val="0.64309975766703531"/>
        </c:manualLayout>
      </c:layout>
      <c:scatterChart>
        <c:scatterStyle val="lineMarker"/>
        <c:varyColors val="0"/>
        <c:ser>
          <c:idx val="0"/>
          <c:order val="0"/>
          <c:tx>
            <c:v>Observé</c:v>
          </c:tx>
          <c:spPr>
            <a:ln w="28575">
              <a:noFill/>
            </a:ln>
          </c:spPr>
          <c:marker>
            <c:symbol val="diamond"/>
            <c:size val="5"/>
            <c:spPr>
              <a:solidFill>
                <a:srgbClr val="000080"/>
              </a:solidFill>
              <a:ln>
                <a:solidFill>
                  <a:srgbClr val="000080"/>
                </a:solidFill>
                <a:prstDash val="solid"/>
              </a:ln>
            </c:spPr>
          </c:marker>
          <c:xVal>
            <c:numRef>
              <c:f>Méthode!$O$8:$O$24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Méthode!$P$8:$P$24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Ajusté</c:v>
          </c:tx>
          <c:spPr>
            <a:ln w="12700">
              <a:solidFill>
                <a:srgbClr val="FF00FF"/>
              </a:solidFill>
              <a:prstDash val="solid"/>
            </a:ln>
          </c:spPr>
          <c:marker>
            <c:symbol val="none"/>
          </c:marker>
          <c:xVal>
            <c:numRef>
              <c:f>Méthode!$O$8:$O$24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Méthode!$Q$8:$Q$24</c:f>
              <c:numCache>
                <c:formatCode>0.0000</c:formatCode>
                <c:ptCount val="17"/>
                <c:pt idx="0">
                  <c:v>-2.4451671057392627E-3</c:v>
                </c:pt>
                <c:pt idx="1">
                  <c:v>1.0370937015331726E-2</c:v>
                </c:pt>
                <c:pt idx="2">
                  <c:v>1.1879152303162268E-2</c:v>
                </c:pt>
                <c:pt idx="3">
                  <c:v>1.3908478591758928E-2</c:v>
                </c:pt>
                <c:pt idx="4">
                  <c:v>1.6457032606211633E-2</c:v>
                </c:pt>
                <c:pt idx="5">
                  <c:v>1.8776230364251651E-2</c:v>
                </c:pt>
                <c:pt idx="6">
                  <c:v>2.0209548555383459E-2</c:v>
                </c:pt>
                <c:pt idx="7">
                  <c:v>2.1296856560768625E-2</c:v>
                </c:pt>
                <c:pt idx="8">
                  <c:v>2.325897830614149E-2</c:v>
                </c:pt>
                <c:pt idx="9">
                  <c:v>2.6371241611177734E-2</c:v>
                </c:pt>
                <c:pt idx="10">
                  <c:v>3.0857003631523619E-2</c:v>
                </c:pt>
                <c:pt idx="11">
                  <c:v>3.6730560894739257E-2</c:v>
                </c:pt>
                <c:pt idx="12">
                  <c:v>4.4127914858849218E-2</c:v>
                </c:pt>
                <c:pt idx="13">
                  <c:v>5.4011643371797362E-2</c:v>
                </c:pt>
                <c:pt idx="14">
                  <c:v>6.7367070696603262E-2</c:v>
                </c:pt>
                <c:pt idx="15">
                  <c:v>8.6467654878216532E-2</c:v>
                </c:pt>
                <c:pt idx="16">
                  <c:v>0.10966616337579277</c:v>
                </c:pt>
              </c:numCache>
            </c:numRef>
          </c:yVal>
          <c:smooth val="0"/>
        </c:ser>
        <c:dLbls>
          <c:showLegendKey val="0"/>
          <c:showVal val="0"/>
          <c:showCatName val="0"/>
          <c:showSerName val="0"/>
          <c:showPercent val="0"/>
          <c:showBubbleSize val="0"/>
        </c:dLbls>
        <c:axId val="175240704"/>
        <c:axId val="175242624"/>
      </c:scatterChart>
      <c:valAx>
        <c:axId val="175240704"/>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53"/>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5242624"/>
        <c:crosses val="autoZero"/>
        <c:crossBetween val="midCat"/>
      </c:valAx>
      <c:valAx>
        <c:axId val="175242624"/>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42"/>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5240704"/>
        <c:crosses val="autoZero"/>
        <c:crossBetween val="midCat"/>
      </c:valAx>
      <c:spPr>
        <a:noFill/>
        <a:ln w="12700">
          <a:solidFill>
            <a:srgbClr val="808080"/>
          </a:solidFill>
          <a:prstDash val="solid"/>
        </a:ln>
      </c:spPr>
    </c:plotArea>
    <c:legend>
      <c:legendPos val="b"/>
      <c:layout>
        <c:manualLayout>
          <c:xMode val="edge"/>
          <c:yMode val="edge"/>
          <c:x val="0.41686231843970573"/>
          <c:y val="0.89899272691923549"/>
          <c:w val="0.30444989458285315"/>
          <c:h val="7.7441430932245245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Residus</a:t>
            </a:r>
          </a:p>
        </c:rich>
      </c:tx>
      <c:layout>
        <c:manualLayout>
          <c:xMode val="edge"/>
          <c:yMode val="edge"/>
          <c:x val="0.43023304645058563"/>
          <c:y val="3.6666666666666681E-2"/>
        </c:manualLayout>
      </c:layout>
      <c:overlay val="0"/>
      <c:spPr>
        <a:noFill/>
        <a:ln w="25400">
          <a:noFill/>
        </a:ln>
      </c:spPr>
    </c:title>
    <c:autoTitleDeleted val="0"/>
    <c:plotArea>
      <c:layout>
        <c:manualLayout>
          <c:layoutTarget val="inner"/>
          <c:xMode val="edge"/>
          <c:yMode val="edge"/>
          <c:x val="0.14418621024051817"/>
          <c:y val="0.20000065104378587"/>
          <c:w val="0.79767532439513156"/>
          <c:h val="0.716668999573572"/>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Méthode!$O$9:$O$24</c:f>
              <c:numCache>
                <c:formatCode>0.00000</c:formatCode>
                <c:ptCount val="16"/>
                <c:pt idx="0">
                  <c:v>1.1427844998484099E-2</c:v>
                </c:pt>
                <c:pt idx="1">
                  <c:v>1.2772688202850265E-2</c:v>
                </c:pt>
                <c:pt idx="2">
                  <c:v>1.4582194903041903E-2</c:v>
                </c:pt>
                <c:pt idx="3">
                  <c:v>1.6854685823238649E-2</c:v>
                </c:pt>
                <c:pt idx="4">
                  <c:v>1.8922664691804394E-2</c:v>
                </c:pt>
                <c:pt idx="5">
                  <c:v>2.0200723762410097E-2</c:v>
                </c:pt>
                <c:pt idx="6">
                  <c:v>2.1170252976106453E-2</c:v>
                </c:pt>
                <c:pt idx="7">
                  <c:v>2.2919834827381427E-2</c:v>
                </c:pt>
                <c:pt idx="8">
                  <c:v>2.5694973224232396E-2</c:v>
                </c:pt>
                <c:pt idx="9">
                  <c:v>2.9694830948883578E-2</c:v>
                </c:pt>
                <c:pt idx="10">
                  <c:v>3.4932155908142699E-2</c:v>
                </c:pt>
                <c:pt idx="11">
                  <c:v>4.1528217683404423E-2</c:v>
                </c:pt>
                <c:pt idx="12">
                  <c:v>5.0341326283807268E-2</c:v>
                </c:pt>
                <c:pt idx="13">
                  <c:v>6.2250074208652223E-2</c:v>
                </c:pt>
                <c:pt idx="14">
                  <c:v>7.928165520596181E-2</c:v>
                </c:pt>
                <c:pt idx="15">
                  <c:v>9.9967267370305202E-2</c:v>
                </c:pt>
              </c:numCache>
            </c:numRef>
          </c:xVal>
          <c:yVal>
            <c:numRef>
              <c:f>Méthode!$R$9:$R$24</c:f>
              <c:numCache>
                <c:formatCode>0.0000</c:formatCode>
                <c:ptCount val="16"/>
                <c:pt idx="0">
                  <c:v>3.448304691331186E-4</c:v>
                </c:pt>
                <c:pt idx="1">
                  <c:v>2.1484694722851694E-3</c:v>
                </c:pt>
                <c:pt idx="2">
                  <c:v>2.5327248816676626E-3</c:v>
                </c:pt>
                <c:pt idx="3">
                  <c:v>1.9531382475620473E-3</c:v>
                </c:pt>
                <c:pt idx="4">
                  <c:v>4.1994815306964015E-4</c:v>
                </c:pt>
                <c:pt idx="5">
                  <c:v>-6.471534667531198E-4</c:v>
                </c:pt>
                <c:pt idx="6">
                  <c:v>-9.6231727367003181E-4</c:v>
                </c:pt>
                <c:pt idx="7">
                  <c:v>-8.8229938623397841E-4</c:v>
                </c:pt>
                <c:pt idx="8">
                  <c:v>-1.8688130435052137E-3</c:v>
                </c:pt>
                <c:pt idx="9">
                  <c:v>-2.8948839910691374E-3</c:v>
                </c:pt>
                <c:pt idx="10">
                  <c:v>-2.7583514044574944E-3</c:v>
                </c:pt>
                <c:pt idx="11">
                  <c:v>-1.0580673740833296E-3</c:v>
                </c:pt>
                <c:pt idx="12">
                  <c:v>1.6258673140681634E-3</c:v>
                </c:pt>
                <c:pt idx="13">
                  <c:v>1.7455934672528511E-3</c:v>
                </c:pt>
                <c:pt idx="14">
                  <c:v>1.0662538697273211E-3</c:v>
                </c:pt>
                <c:pt idx="15">
                  <c:v>-7.6493993499360258E-4</c:v>
                </c:pt>
              </c:numCache>
            </c:numRef>
          </c:yVal>
          <c:smooth val="0"/>
        </c:ser>
        <c:dLbls>
          <c:showLegendKey val="0"/>
          <c:showVal val="0"/>
          <c:showCatName val="0"/>
          <c:showSerName val="0"/>
          <c:showPercent val="0"/>
          <c:showBubbleSize val="0"/>
        </c:dLbls>
        <c:axId val="175086592"/>
        <c:axId val="175109248"/>
      </c:scatterChart>
      <c:valAx>
        <c:axId val="175086592"/>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5109248"/>
        <c:crosses val="autoZero"/>
        <c:crossBetween val="midCat"/>
      </c:valAx>
      <c:valAx>
        <c:axId val="175109248"/>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508659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55" r="0.7500000000000045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'Taux de mortalité'!$J$5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mortalité'!$J$9:$J$25</c:f>
              <c:numCache>
                <c:formatCode>0.0000_)</c:formatCode>
                <c:ptCount val="17"/>
                <c:pt idx="0">
                  <c:v>-2.6028674110227765</c:v>
                </c:pt>
                <c:pt idx="1">
                  <c:v>-2.3358776071801048</c:v>
                </c:pt>
                <c:pt idx="2">
                  <c:v>-1.970928157896741</c:v>
                </c:pt>
                <c:pt idx="3">
                  <c:v>-1.4506696119772502</c:v>
                </c:pt>
                <c:pt idx="4">
                  <c:v>-1.0097609157654737</c:v>
                </c:pt>
                <c:pt idx="5">
                  <c:v>-0.71814496136908446</c:v>
                </c:pt>
                <c:pt idx="6">
                  <c:v>-0.53767740349130699</c:v>
                </c:pt>
                <c:pt idx="7">
                  <c:v>-0.40496851001037004</c:v>
                </c:pt>
                <c:pt idx="8">
                  <c:v>-0.29574700102574203</c:v>
                </c:pt>
                <c:pt idx="9">
                  <c:v>-0.19181816301849755</c:v>
                </c:pt>
                <c:pt idx="10">
                  <c:v>-8.6792178133418649E-2</c:v>
                </c:pt>
                <c:pt idx="11">
                  <c:v>3.2770439881761981E-2</c:v>
                </c:pt>
                <c:pt idx="12">
                  <c:v>0.17407555380950113</c:v>
                </c:pt>
                <c:pt idx="13">
                  <c:v>0.34596051931940569</c:v>
                </c:pt>
                <c:pt idx="14">
                  <c:v>0.56570183400148066</c:v>
                </c:pt>
                <c:pt idx="15">
                  <c:v>0.82682979963970593</c:v>
                </c:pt>
                <c:pt idx="16">
                  <c:v>#N/A</c:v>
                </c:pt>
              </c:numCache>
            </c:numRef>
          </c:yVal>
          <c:smooth val="0"/>
        </c:ser>
        <c:ser>
          <c:idx val="1"/>
          <c:order val="1"/>
          <c:tx>
            <c:strRef>
              <c:f>'Taux de mortalité'!$M$5</c:f>
              <c:strCache>
                <c:ptCount val="1"/>
                <c:pt idx="0">
                  <c:v>Lissé Y(x)</c:v>
                </c:pt>
              </c:strCache>
            </c:strRef>
          </c:tx>
          <c:spPr>
            <a:ln w="12700">
              <a:solidFill>
                <a:srgbClr val="FF00FF"/>
              </a:solidFill>
              <a:prstDash val="solid"/>
            </a:ln>
          </c:spPr>
          <c:marker>
            <c:symbol val="none"/>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mortalité'!$M$9:$M$25</c:f>
              <c:numCache>
                <c:formatCode>0.0000_)</c:formatCode>
                <c:ptCount val="17"/>
                <c:pt idx="0">
                  <c:v>-1.8163706623701821</c:v>
                </c:pt>
                <c:pt idx="1">
                  <c:v>-1.6435065271614873</c:v>
                </c:pt>
                <c:pt idx="2">
                  <c:v>-1.4114379704816618</c:v>
                </c:pt>
                <c:pt idx="3">
                  <c:v>-1.1251492632819093</c:v>
                </c:pt>
                <c:pt idx="4">
                  <c:v>-0.82805467702631241</c:v>
                </c:pt>
                <c:pt idx="5">
                  <c:v>-0.6006428955652906</c:v>
                </c:pt>
                <c:pt idx="6">
                  <c:v>-0.4480050434441768</c:v>
                </c:pt>
                <c:pt idx="7">
                  <c:v>-0.34561531616747077</c:v>
                </c:pt>
                <c:pt idx="8">
                  <c:v>-0.27029550989188988</c:v>
                </c:pt>
                <c:pt idx="9">
                  <c:v>-0.19715869481076906</c:v>
                </c:pt>
                <c:pt idx="10">
                  <c:v>-0.11496513560262464</c:v>
                </c:pt>
                <c:pt idx="11">
                  <c:v>-7.0017619871353409E-3</c:v>
                </c:pt>
                <c:pt idx="12">
                  <c:v>0.14241611818814526</c:v>
                </c:pt>
                <c:pt idx="13">
                  <c:v>0.32921945453080836</c:v>
                </c:pt>
                <c:pt idx="14">
                  <c:v>0.56280240810095938</c:v>
                </c:pt>
                <c:pt idx="15">
                  <c:v>0.86661073210380346</c:v>
                </c:pt>
                <c:pt idx="16">
                  <c:v>1.2731697401089721</c:v>
                </c:pt>
              </c:numCache>
            </c:numRef>
          </c:yVal>
          <c:smooth val="0"/>
        </c:ser>
        <c:dLbls>
          <c:showLegendKey val="0"/>
          <c:showVal val="0"/>
          <c:showCatName val="0"/>
          <c:showSerName val="0"/>
          <c:showPercent val="0"/>
          <c:showBubbleSize val="0"/>
        </c:dLbls>
        <c:axId val="194062208"/>
        <c:axId val="194072576"/>
      </c:scatterChart>
      <c:valAx>
        <c:axId val="19406220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4072576"/>
        <c:crossesAt val="0"/>
        <c:crossBetween val="midCat"/>
      </c:valAx>
      <c:valAx>
        <c:axId val="194072576"/>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4062208"/>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Taux corrigés et lissés</c:v>
          </c:tx>
          <c:spPr>
            <a:ln w="15875">
              <a:solidFill>
                <a:srgbClr val="FF00FF"/>
              </a:solidFill>
            </a:ln>
          </c:spPr>
          <c:marker>
            <c:symbol val="none"/>
          </c:marker>
          <c:xVal>
            <c:numRef>
              <c:f>'Taux de mortalité'!$R$8:$R$24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mortalité'!$Q$8:$Q$24</c:f>
              <c:numCache>
                <c:formatCode>0.0000</c:formatCode>
                <c:ptCount val="17"/>
                <c:pt idx="0">
                  <c:v>5.2197050143123922E-3</c:v>
                </c:pt>
                <c:pt idx="1">
                  <c:v>2.1168038516412926E-3</c:v>
                </c:pt>
                <c:pt idx="2">
                  <c:v>4.2101248057349432E-3</c:v>
                </c:pt>
                <c:pt idx="3">
                  <c:v>8.4872404459042389E-3</c:v>
                </c:pt>
                <c:pt idx="4">
                  <c:v>1.4896025446683588E-2</c:v>
                </c:pt>
                <c:pt idx="5">
                  <c:v>1.7646997717362108E-2</c:v>
                </c:pt>
                <c:pt idx="6">
                  <c:v>1.5856448886804594E-2</c:v>
                </c:pt>
                <c:pt idx="7">
                  <c:v>1.2754788026189307E-2</c:v>
                </c:pt>
                <c:pt idx="8">
                  <c:v>1.0565702698931244E-2</c:v>
                </c:pt>
                <c:pt idx="9">
                  <c:v>1.126791088487138E-2</c:v>
                </c:pt>
                <c:pt idx="10">
                  <c:v>1.3889692377274651E-2</c:v>
                </c:pt>
                <c:pt idx="11">
                  <c:v>2.0261424631706069E-2</c:v>
                </c:pt>
                <c:pt idx="12">
                  <c:v>3.1832631683834253E-2</c:v>
                </c:pt>
                <c:pt idx="13">
                  <c:v>4.5785933090456657E-2</c:v>
                </c:pt>
                <c:pt idx="14">
                  <c:v>6.5601933645319341E-2</c:v>
                </c:pt>
                <c:pt idx="15">
                  <c:v>9.5960884438165556E-2</c:v>
                </c:pt>
                <c:pt idx="16">
                  <c:v>0.13911352551755152</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'Taux de mortalité'!$R$8:$R$24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mortalité'!$F$8:$F$24</c:f>
              <c:numCache>
                <c:formatCode>0.0000</c:formatCode>
                <c:ptCount val="17"/>
                <c:pt idx="0">
                  <c:v>1.0940033751000219E-3</c:v>
                </c:pt>
                <c:pt idx="1">
                  <c:v>7.6846072725724054E-4</c:v>
                </c:pt>
                <c:pt idx="2">
                  <c:v>1.98274276633988E-3</c:v>
                </c:pt>
                <c:pt idx="3">
                  <c:v>6.8526977320098621E-3</c:v>
                </c:pt>
                <c:pt idx="4">
                  <c:v>1.4219582390921481E-2</c:v>
                </c:pt>
                <c:pt idx="5">
                  <c:v>1.7732678911757619E-2</c:v>
                </c:pt>
                <c:pt idx="6">
                  <c:v>1.603239516274467E-2</c:v>
                </c:pt>
                <c:pt idx="7">
                  <c:v>1.4889743843591317E-2</c:v>
                </c:pt>
                <c:pt idx="8">
                  <c:v>1.4489616638533929E-2</c:v>
                </c:pt>
                <c:pt idx="9">
                  <c:v>1.5812578860600193E-2</c:v>
                </c:pt>
                <c:pt idx="10">
                  <c:v>1.8088120733994673E-2</c:v>
                </c:pt>
                <c:pt idx="11">
                  <c:v>2.3241342820354192E-2</c:v>
                </c:pt>
                <c:pt idx="12">
                  <c:v>3.1105769859833265E-2</c:v>
                </c:pt>
                <c:pt idx="13">
                  <c:v>4.2933390012899898E-2</c:v>
                </c:pt>
                <c:pt idx="14">
                  <c:v>6.2131579378701403E-2</c:v>
                </c:pt>
                <c:pt idx="15">
                  <c:v>8.2357153798699373E-2</c:v>
                </c:pt>
                <c:pt idx="16">
                  <c:v>0.15277985116473389</c:v>
                </c:pt>
              </c:numCache>
            </c:numRef>
          </c:yVal>
          <c:smooth val="0"/>
        </c:ser>
        <c:dLbls>
          <c:showLegendKey val="0"/>
          <c:showVal val="0"/>
          <c:showCatName val="0"/>
          <c:showSerName val="0"/>
          <c:showPercent val="0"/>
          <c:showBubbleSize val="0"/>
        </c:dLbls>
        <c:axId val="194109824"/>
        <c:axId val="194111744"/>
      </c:scatterChart>
      <c:valAx>
        <c:axId val="194109824"/>
        <c:scaling>
          <c:orientation val="minMax"/>
          <c:max val="85"/>
          <c:min val="0"/>
        </c:scaling>
        <c:delete val="0"/>
        <c:axPos val="b"/>
        <c:numFmt formatCode="General" sourceLinked="1"/>
        <c:majorTickMark val="out"/>
        <c:minorTickMark val="none"/>
        <c:tickLblPos val="nextTo"/>
        <c:crossAx val="194111744"/>
        <c:crosses val="autoZero"/>
        <c:crossBetween val="midCat"/>
      </c:valAx>
      <c:valAx>
        <c:axId val="194111744"/>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94109824"/>
        <c:crosses val="autoZero"/>
        <c:crossBetween val="midCat"/>
      </c:valAx>
    </c:plotArea>
    <c:legend>
      <c:legendPos val="r"/>
      <c:layout>
        <c:manualLayout>
          <c:xMode val="edge"/>
          <c:yMode val="edge"/>
          <c:x val="0.77007891790050265"/>
          <c:y val="0.42708502667005332"/>
          <c:w val="0.21637706404080981"/>
          <c:h val="0.34692772598827476"/>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3"/>
          <c:y val="0.15722823340825595"/>
          <c:w val="0.75212009351544573"/>
          <c:h val="0.63414005192270861"/>
        </c:manualLayout>
      </c:layout>
      <c:scatterChart>
        <c:scatterStyle val="lineMarker"/>
        <c:varyColors val="0"/>
        <c:ser>
          <c:idx val="0"/>
          <c:order val="0"/>
          <c:tx>
            <c:v>Observations</c:v>
          </c:tx>
          <c:spPr>
            <a:ln>
              <a:noFill/>
            </a:ln>
          </c:spPr>
          <c:marker>
            <c:symbol val="square"/>
            <c:size val="5"/>
          </c:marker>
          <c:xVal>
            <c:numRef>
              <c:f>Méthode!$O$8:$O$24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Méthode!$P$8:$P$24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Ajustés</c:v>
          </c:tx>
          <c:spPr>
            <a:ln>
              <a:solidFill>
                <a:srgbClr val="FF66FF"/>
              </a:solidFill>
              <a:prstDash val="solid"/>
            </a:ln>
          </c:spPr>
          <c:marker>
            <c:symbol val="none"/>
          </c:marker>
          <c:xVal>
            <c:numRef>
              <c:f>Méthode!$O$8:$O$24</c:f>
              <c:numCache>
                <c:formatCode>0.00000</c:formatCode>
                <c:ptCount val="17"/>
                <c:pt idx="0">
                  <c:v>0</c:v>
                </c:pt>
                <c:pt idx="1">
                  <c:v>1.1427844998484099E-2</c:v>
                </c:pt>
                <c:pt idx="2">
                  <c:v>1.2772688202850265E-2</c:v>
                </c:pt>
                <c:pt idx="3">
                  <c:v>1.4582194903041903E-2</c:v>
                </c:pt>
                <c:pt idx="4">
                  <c:v>1.6854685823238649E-2</c:v>
                </c:pt>
                <c:pt idx="5">
                  <c:v>1.8922664691804394E-2</c:v>
                </c:pt>
                <c:pt idx="6">
                  <c:v>2.0200723762410097E-2</c:v>
                </c:pt>
                <c:pt idx="7">
                  <c:v>2.1170252976106453E-2</c:v>
                </c:pt>
                <c:pt idx="8">
                  <c:v>2.2919834827381427E-2</c:v>
                </c:pt>
                <c:pt idx="9">
                  <c:v>2.5694973224232396E-2</c:v>
                </c:pt>
                <c:pt idx="10">
                  <c:v>2.9694830948883578E-2</c:v>
                </c:pt>
                <c:pt idx="11">
                  <c:v>3.4932155908142699E-2</c:v>
                </c:pt>
                <c:pt idx="12">
                  <c:v>4.1528217683404423E-2</c:v>
                </c:pt>
                <c:pt idx="13">
                  <c:v>5.0341326283807268E-2</c:v>
                </c:pt>
                <c:pt idx="14">
                  <c:v>6.2250074208652223E-2</c:v>
                </c:pt>
                <c:pt idx="15">
                  <c:v>7.928165520596181E-2</c:v>
                </c:pt>
                <c:pt idx="16">
                  <c:v>9.9967267370305202E-2</c:v>
                </c:pt>
              </c:numCache>
            </c:numRef>
          </c:xVal>
          <c:yVal>
            <c:numRef>
              <c:f>Méthode!$Q$8:$Q$24</c:f>
              <c:numCache>
                <c:formatCode>0.0000</c:formatCode>
                <c:ptCount val="17"/>
                <c:pt idx="0">
                  <c:v>-2.4451671057392627E-3</c:v>
                </c:pt>
                <c:pt idx="1">
                  <c:v>1.0370937015331726E-2</c:v>
                </c:pt>
                <c:pt idx="2">
                  <c:v>1.1879152303162268E-2</c:v>
                </c:pt>
                <c:pt idx="3">
                  <c:v>1.3908478591758928E-2</c:v>
                </c:pt>
                <c:pt idx="4">
                  <c:v>1.6457032606211633E-2</c:v>
                </c:pt>
                <c:pt idx="5">
                  <c:v>1.8776230364251651E-2</c:v>
                </c:pt>
                <c:pt idx="6">
                  <c:v>2.0209548555383459E-2</c:v>
                </c:pt>
                <c:pt idx="7">
                  <c:v>2.1296856560768625E-2</c:v>
                </c:pt>
                <c:pt idx="8">
                  <c:v>2.325897830614149E-2</c:v>
                </c:pt>
                <c:pt idx="9">
                  <c:v>2.6371241611177734E-2</c:v>
                </c:pt>
                <c:pt idx="10">
                  <c:v>3.0857003631523619E-2</c:v>
                </c:pt>
                <c:pt idx="11">
                  <c:v>3.6730560894739257E-2</c:v>
                </c:pt>
                <c:pt idx="12">
                  <c:v>4.4127914858849218E-2</c:v>
                </c:pt>
                <c:pt idx="13">
                  <c:v>5.4011643371797362E-2</c:v>
                </c:pt>
                <c:pt idx="14">
                  <c:v>6.7367070696603262E-2</c:v>
                </c:pt>
                <c:pt idx="15">
                  <c:v>8.6467654878216532E-2</c:v>
                </c:pt>
                <c:pt idx="16">
                  <c:v>0.10966616337579277</c:v>
                </c:pt>
              </c:numCache>
            </c:numRef>
          </c:yVal>
          <c:smooth val="0"/>
        </c:ser>
        <c:dLbls>
          <c:showLegendKey val="0"/>
          <c:showVal val="0"/>
          <c:showCatName val="0"/>
          <c:showSerName val="0"/>
          <c:showPercent val="0"/>
          <c:showBubbleSize val="0"/>
        </c:dLbls>
        <c:axId val="193801600"/>
        <c:axId val="193836544"/>
      </c:scatterChart>
      <c:valAx>
        <c:axId val="193801600"/>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93836544"/>
        <c:crosses val="autoZero"/>
        <c:crossBetween val="midCat"/>
        <c:majorUnit val="2.0000000000000011E-2"/>
      </c:valAx>
      <c:valAx>
        <c:axId val="193836544"/>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193801600"/>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33" l="0.70000000000000062" r="0.70000000000000062" t="0.750000000000002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Résidus</a:t>
            </a:r>
          </a:p>
        </c:rich>
      </c:tx>
      <c:overlay val="0"/>
    </c:title>
    <c:autoTitleDeleted val="0"/>
    <c:plotArea>
      <c:layout>
        <c:manualLayout>
          <c:layoutTarget val="inner"/>
          <c:xMode val="edge"/>
          <c:yMode val="edge"/>
          <c:x val="0.18942229605020414"/>
          <c:y val="0.15722823340825601"/>
          <c:w val="0.75212009351544595"/>
          <c:h val="0.63414005192270861"/>
        </c:manualLayout>
      </c:layout>
      <c:scatterChart>
        <c:scatterStyle val="lineMarker"/>
        <c:varyColors val="0"/>
        <c:ser>
          <c:idx val="0"/>
          <c:order val="0"/>
          <c:tx>
            <c:v>Residuals</c:v>
          </c:tx>
          <c:spPr>
            <a:ln>
              <a:solidFill>
                <a:srgbClr val="0070C0"/>
              </a:solidFill>
            </a:ln>
          </c:spPr>
          <c:marker>
            <c:symbol val="square"/>
            <c:size val="5"/>
          </c:marker>
          <c:xVal>
            <c:numRef>
              <c:f>Méthode!$O$9:$O$24</c:f>
              <c:numCache>
                <c:formatCode>0.00000</c:formatCode>
                <c:ptCount val="16"/>
                <c:pt idx="0">
                  <c:v>1.1427844998484099E-2</c:v>
                </c:pt>
                <c:pt idx="1">
                  <c:v>1.2772688202850265E-2</c:v>
                </c:pt>
                <c:pt idx="2">
                  <c:v>1.4582194903041903E-2</c:v>
                </c:pt>
                <c:pt idx="3">
                  <c:v>1.6854685823238649E-2</c:v>
                </c:pt>
                <c:pt idx="4">
                  <c:v>1.8922664691804394E-2</c:v>
                </c:pt>
                <c:pt idx="5">
                  <c:v>2.0200723762410097E-2</c:v>
                </c:pt>
                <c:pt idx="6">
                  <c:v>2.1170252976106453E-2</c:v>
                </c:pt>
                <c:pt idx="7">
                  <c:v>2.2919834827381427E-2</c:v>
                </c:pt>
                <c:pt idx="8">
                  <c:v>2.5694973224232396E-2</c:v>
                </c:pt>
                <c:pt idx="9">
                  <c:v>2.9694830948883578E-2</c:v>
                </c:pt>
                <c:pt idx="10">
                  <c:v>3.4932155908142699E-2</c:v>
                </c:pt>
                <c:pt idx="11">
                  <c:v>4.1528217683404423E-2</c:v>
                </c:pt>
                <c:pt idx="12">
                  <c:v>5.0341326283807268E-2</c:v>
                </c:pt>
                <c:pt idx="13">
                  <c:v>6.2250074208652223E-2</c:v>
                </c:pt>
                <c:pt idx="14">
                  <c:v>7.928165520596181E-2</c:v>
                </c:pt>
                <c:pt idx="15">
                  <c:v>9.9967267370305202E-2</c:v>
                </c:pt>
              </c:numCache>
            </c:numRef>
          </c:xVal>
          <c:yVal>
            <c:numRef>
              <c:f>Méthode!$R$9:$R$24</c:f>
              <c:numCache>
                <c:formatCode>0.0000</c:formatCode>
                <c:ptCount val="16"/>
                <c:pt idx="0">
                  <c:v>3.448304691331186E-4</c:v>
                </c:pt>
                <c:pt idx="1">
                  <c:v>2.1484694722851694E-3</c:v>
                </c:pt>
                <c:pt idx="2">
                  <c:v>2.5327248816676626E-3</c:v>
                </c:pt>
                <c:pt idx="3">
                  <c:v>1.9531382475620473E-3</c:v>
                </c:pt>
                <c:pt idx="4">
                  <c:v>4.1994815306964015E-4</c:v>
                </c:pt>
                <c:pt idx="5">
                  <c:v>-6.471534667531198E-4</c:v>
                </c:pt>
                <c:pt idx="6">
                  <c:v>-9.6231727367003181E-4</c:v>
                </c:pt>
                <c:pt idx="7">
                  <c:v>-8.8229938623397841E-4</c:v>
                </c:pt>
                <c:pt idx="8">
                  <c:v>-1.8688130435052137E-3</c:v>
                </c:pt>
                <c:pt idx="9">
                  <c:v>-2.8948839910691374E-3</c:v>
                </c:pt>
                <c:pt idx="10">
                  <c:v>-2.7583514044574944E-3</c:v>
                </c:pt>
                <c:pt idx="11">
                  <c:v>-1.0580673740833296E-3</c:v>
                </c:pt>
                <c:pt idx="12">
                  <c:v>1.6258673140681634E-3</c:v>
                </c:pt>
                <c:pt idx="13">
                  <c:v>1.7455934672528511E-3</c:v>
                </c:pt>
                <c:pt idx="14">
                  <c:v>1.0662538697273211E-3</c:v>
                </c:pt>
                <c:pt idx="15">
                  <c:v>-7.6493993499360258E-4</c:v>
                </c:pt>
              </c:numCache>
            </c:numRef>
          </c:yVal>
          <c:smooth val="0"/>
        </c:ser>
        <c:dLbls>
          <c:showLegendKey val="0"/>
          <c:showVal val="0"/>
          <c:showCatName val="0"/>
          <c:showSerName val="0"/>
          <c:showPercent val="0"/>
          <c:showBubbleSize val="0"/>
        </c:dLbls>
        <c:axId val="193930752"/>
        <c:axId val="193932672"/>
      </c:scatterChart>
      <c:valAx>
        <c:axId val="193930752"/>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93932672"/>
        <c:crosses val="autoZero"/>
        <c:crossBetween val="midCat"/>
        <c:majorUnit val="2.0000000000000011E-2"/>
      </c:valAx>
      <c:valAx>
        <c:axId val="193932672"/>
        <c:scaling>
          <c:orientation val="minMax"/>
        </c:scaling>
        <c:delete val="0"/>
        <c:axPos val="l"/>
        <c:majorGridlines/>
        <c:numFmt formatCode="0.000" sourceLinked="0"/>
        <c:majorTickMark val="out"/>
        <c:minorTickMark val="none"/>
        <c:tickLblPos val="nextTo"/>
        <c:crossAx val="193930752"/>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mortalité'!$J$9:$J$25</c:f>
              <c:numCache>
                <c:formatCode>0.0000_)</c:formatCode>
                <c:ptCount val="17"/>
                <c:pt idx="0">
                  <c:v>-2.6028674110227765</c:v>
                </c:pt>
                <c:pt idx="1">
                  <c:v>-2.3358776071801048</c:v>
                </c:pt>
                <c:pt idx="2">
                  <c:v>-1.970928157896741</c:v>
                </c:pt>
                <c:pt idx="3">
                  <c:v>-1.4506696119772502</c:v>
                </c:pt>
                <c:pt idx="4">
                  <c:v>-1.0097609157654737</c:v>
                </c:pt>
                <c:pt idx="5">
                  <c:v>-0.71814496136908446</c:v>
                </c:pt>
                <c:pt idx="6">
                  <c:v>-0.53767740349130699</c:v>
                </c:pt>
                <c:pt idx="7">
                  <c:v>-0.40496851001037004</c:v>
                </c:pt>
                <c:pt idx="8">
                  <c:v>-0.29574700102574203</c:v>
                </c:pt>
                <c:pt idx="9">
                  <c:v>-0.19181816301849755</c:v>
                </c:pt>
                <c:pt idx="10">
                  <c:v>-8.6792178133418649E-2</c:v>
                </c:pt>
                <c:pt idx="11">
                  <c:v>3.2770439881761981E-2</c:v>
                </c:pt>
                <c:pt idx="12">
                  <c:v>0.17407555380950113</c:v>
                </c:pt>
                <c:pt idx="13">
                  <c:v>0.34596051931940569</c:v>
                </c:pt>
                <c:pt idx="14">
                  <c:v>0.56570183400148066</c:v>
                </c:pt>
                <c:pt idx="15">
                  <c:v>0.82682979963970593</c:v>
                </c:pt>
                <c:pt idx="16">
                  <c:v>#N/A</c:v>
                </c:pt>
              </c:numCache>
            </c:numRef>
          </c:yVal>
          <c:smooth val="0"/>
        </c:ser>
        <c:ser>
          <c:idx val="1"/>
          <c:order val="1"/>
          <c:tx>
            <c:v>Lissage</c:v>
          </c:tx>
          <c:spPr>
            <a:ln>
              <a:solidFill>
                <a:srgbClr val="FF66FF"/>
              </a:solidFill>
              <a:prstDash val="solid"/>
            </a:ln>
          </c:spPr>
          <c:marker>
            <c:symbol val="none"/>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mortalité'!$M$9:$M$25</c:f>
              <c:numCache>
                <c:formatCode>0.0000_)</c:formatCode>
                <c:ptCount val="17"/>
                <c:pt idx="0">
                  <c:v>-1.8163706623701821</c:v>
                </c:pt>
                <c:pt idx="1">
                  <c:v>-1.6435065271614873</c:v>
                </c:pt>
                <c:pt idx="2">
                  <c:v>-1.4114379704816618</c:v>
                </c:pt>
                <c:pt idx="3">
                  <c:v>-1.1251492632819093</c:v>
                </c:pt>
                <c:pt idx="4">
                  <c:v>-0.82805467702631241</c:v>
                </c:pt>
                <c:pt idx="5">
                  <c:v>-0.6006428955652906</c:v>
                </c:pt>
                <c:pt idx="6">
                  <c:v>-0.4480050434441768</c:v>
                </c:pt>
                <c:pt idx="7">
                  <c:v>-0.34561531616747077</c:v>
                </c:pt>
                <c:pt idx="8">
                  <c:v>-0.27029550989188988</c:v>
                </c:pt>
                <c:pt idx="9">
                  <c:v>-0.19715869481076906</c:v>
                </c:pt>
                <c:pt idx="10">
                  <c:v>-0.11496513560262464</c:v>
                </c:pt>
                <c:pt idx="11">
                  <c:v>-7.0017619871353409E-3</c:v>
                </c:pt>
                <c:pt idx="12">
                  <c:v>0.14241611818814526</c:v>
                </c:pt>
                <c:pt idx="13">
                  <c:v>0.32921945453080836</c:v>
                </c:pt>
                <c:pt idx="14">
                  <c:v>0.56280240810095938</c:v>
                </c:pt>
                <c:pt idx="15">
                  <c:v>0.86661073210380346</c:v>
                </c:pt>
                <c:pt idx="16">
                  <c:v>1.2731697401089721</c:v>
                </c:pt>
              </c:numCache>
            </c:numRef>
          </c:yVal>
          <c:smooth val="0"/>
        </c:ser>
        <c:dLbls>
          <c:showLegendKey val="0"/>
          <c:showVal val="0"/>
          <c:showCatName val="0"/>
          <c:showSerName val="0"/>
          <c:showPercent val="0"/>
          <c:showBubbleSize val="0"/>
        </c:dLbls>
        <c:axId val="193965440"/>
        <c:axId val="193971712"/>
      </c:scatterChart>
      <c:valAx>
        <c:axId val="193965440"/>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93971712"/>
        <c:crossesAt val="0"/>
        <c:crossBetween val="midCat"/>
      </c:valAx>
      <c:valAx>
        <c:axId val="193971712"/>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93965440"/>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Taux corrigés</c:v>
          </c:tx>
          <c:spPr>
            <a:ln>
              <a:noFill/>
            </a:ln>
          </c:spPr>
          <c:marker>
            <c:symbol val="square"/>
            <c:size val="5"/>
          </c:marker>
          <c:xVal>
            <c:numRef>
              <c:f>'Taux de mortalité'!$G$8:$G$24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mortalité'!$F$8:$F$24</c:f>
              <c:numCache>
                <c:formatCode>0.0000</c:formatCode>
                <c:ptCount val="17"/>
                <c:pt idx="0">
                  <c:v>1.0940033751000219E-3</c:v>
                </c:pt>
                <c:pt idx="1">
                  <c:v>7.6846072725724054E-4</c:v>
                </c:pt>
                <c:pt idx="2">
                  <c:v>1.98274276633988E-3</c:v>
                </c:pt>
                <c:pt idx="3">
                  <c:v>6.8526977320098621E-3</c:v>
                </c:pt>
                <c:pt idx="4">
                  <c:v>1.4219582390921481E-2</c:v>
                </c:pt>
                <c:pt idx="5">
                  <c:v>1.7732678911757619E-2</c:v>
                </c:pt>
                <c:pt idx="6">
                  <c:v>1.603239516274467E-2</c:v>
                </c:pt>
                <c:pt idx="7">
                  <c:v>1.4889743843591317E-2</c:v>
                </c:pt>
                <c:pt idx="8">
                  <c:v>1.4489616638533929E-2</c:v>
                </c:pt>
                <c:pt idx="9">
                  <c:v>1.5812578860600193E-2</c:v>
                </c:pt>
                <c:pt idx="10">
                  <c:v>1.8088120733994673E-2</c:v>
                </c:pt>
                <c:pt idx="11">
                  <c:v>2.3241342820354192E-2</c:v>
                </c:pt>
                <c:pt idx="12">
                  <c:v>3.1105769859833265E-2</c:v>
                </c:pt>
                <c:pt idx="13">
                  <c:v>4.2933390012899898E-2</c:v>
                </c:pt>
                <c:pt idx="14">
                  <c:v>6.2131579378701403E-2</c:v>
                </c:pt>
                <c:pt idx="15">
                  <c:v>8.2357153798699373E-2</c:v>
                </c:pt>
                <c:pt idx="16">
                  <c:v>0.15277985116473389</c:v>
                </c:pt>
              </c:numCache>
            </c:numRef>
          </c:yVal>
          <c:smooth val="0"/>
        </c:ser>
        <c:ser>
          <c:idx val="1"/>
          <c:order val="1"/>
          <c:tx>
            <c:v>Taux lissés</c:v>
          </c:tx>
          <c:spPr>
            <a:ln w="28575">
              <a:solidFill>
                <a:srgbClr val="FF00FF"/>
              </a:solidFill>
            </a:ln>
          </c:spPr>
          <c:marker>
            <c:symbol val="none"/>
          </c:marker>
          <c:xVal>
            <c:numRef>
              <c:f>'Taux de mortalité'!$G$8:$G$24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mortalité'!$Q$8:$Q$24</c:f>
              <c:numCache>
                <c:formatCode>0.0000</c:formatCode>
                <c:ptCount val="17"/>
                <c:pt idx="0">
                  <c:v>5.2197050143123922E-3</c:v>
                </c:pt>
                <c:pt idx="1">
                  <c:v>2.1168038516412926E-3</c:v>
                </c:pt>
                <c:pt idx="2">
                  <c:v>4.2101248057349432E-3</c:v>
                </c:pt>
                <c:pt idx="3">
                  <c:v>8.4872404459042389E-3</c:v>
                </c:pt>
                <c:pt idx="4">
                  <c:v>1.4896025446683588E-2</c:v>
                </c:pt>
                <c:pt idx="5">
                  <c:v>1.7646997717362108E-2</c:v>
                </c:pt>
                <c:pt idx="6">
                  <c:v>1.5856448886804594E-2</c:v>
                </c:pt>
                <c:pt idx="7">
                  <c:v>1.2754788026189307E-2</c:v>
                </c:pt>
                <c:pt idx="8">
                  <c:v>1.0565702698931244E-2</c:v>
                </c:pt>
                <c:pt idx="9">
                  <c:v>1.126791088487138E-2</c:v>
                </c:pt>
                <c:pt idx="10">
                  <c:v>1.3889692377274651E-2</c:v>
                </c:pt>
                <c:pt idx="11">
                  <c:v>2.0261424631706069E-2</c:v>
                </c:pt>
                <c:pt idx="12">
                  <c:v>3.1832631683834253E-2</c:v>
                </c:pt>
                <c:pt idx="13">
                  <c:v>4.5785933090456657E-2</c:v>
                </c:pt>
                <c:pt idx="14">
                  <c:v>6.5601933645319341E-2</c:v>
                </c:pt>
                <c:pt idx="15">
                  <c:v>9.5960884438165556E-2</c:v>
                </c:pt>
                <c:pt idx="16">
                  <c:v>0.13911352551755152</c:v>
                </c:pt>
              </c:numCache>
            </c:numRef>
          </c:yVal>
          <c:smooth val="0"/>
        </c:ser>
        <c:dLbls>
          <c:showLegendKey val="0"/>
          <c:showVal val="0"/>
          <c:showCatName val="0"/>
          <c:showSerName val="0"/>
          <c:showPercent val="0"/>
          <c:showBubbleSize val="0"/>
        </c:dLbls>
        <c:axId val="193984768"/>
        <c:axId val="194658304"/>
      </c:scatterChart>
      <c:valAx>
        <c:axId val="193984768"/>
        <c:scaling>
          <c:orientation val="minMax"/>
          <c:max val="85"/>
          <c:min val="0"/>
        </c:scaling>
        <c:delete val="0"/>
        <c:axPos val="b"/>
        <c:numFmt formatCode="0" sourceLinked="0"/>
        <c:majorTickMark val="out"/>
        <c:minorTickMark val="none"/>
        <c:tickLblPos val="nextTo"/>
        <c:crossAx val="194658304"/>
        <c:crosses val="autoZero"/>
        <c:crossBetween val="midCat"/>
      </c:valAx>
      <c:valAx>
        <c:axId val="194658304"/>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93984768"/>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xdr:cNvGrpSpPr/>
      </xdr:nvGrpSpPr>
      <xdr:grpSpPr>
        <a:xfrm>
          <a:off x="0" y="0"/>
          <a:ext cx="9822869" cy="5739300"/>
          <a:chOff x="0" y="0"/>
          <a:chExt cx="9822869" cy="5739300"/>
        </a:xfrm>
      </xdr:grpSpPr>
      <xdr:graphicFrame macro="">
        <xdr:nvGraphicFramePr>
          <xdr:cNvPr id="3" name="Chart 2"/>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xdr:cNvGrpSpPr/>
      </xdr:nvGrpSpPr>
      <xdr:grpSpPr>
        <a:xfrm>
          <a:off x="0" y="5873750"/>
          <a:ext cx="9822869" cy="5739300"/>
          <a:chOff x="0" y="0"/>
          <a:chExt cx="9822869" cy="5739300"/>
        </a:xfrm>
      </xdr:grpSpPr>
      <xdr:graphicFrame macro="">
        <xdr:nvGraphicFramePr>
          <xdr:cNvPr id="8" name="Chart 7"/>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la-m&#233;thode-g&#233;n&#233;ralis&#233;e-de-la-balance-de-l&#8217;accroissement-d&#233;mographique" TargetMode="External"/><Relationship Id="rId1" Type="http://schemas.openxmlformats.org/officeDocument/2006/relationships/hyperlink" Target="http://demographicestimation.iussp.org/content/brass-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ColWidth="9.140625" defaultRowHeight="18.75" customHeight="1"/>
  <cols>
    <col min="1" max="1" width="7.7109375" style="95" customWidth="1"/>
    <col min="2" max="2" width="97.7109375" style="95" customWidth="1"/>
    <col min="3" max="3" width="39.5703125" style="95" customWidth="1"/>
    <col min="4" max="4" width="16.42578125" style="95" customWidth="1"/>
    <col min="5" max="16384" width="9.140625" style="95"/>
  </cols>
  <sheetData>
    <row r="1" spans="1:4" s="107" customFormat="1" ht="30" customHeight="1">
      <c r="A1" s="115" t="s">
        <v>94</v>
      </c>
      <c r="B1" s="116"/>
      <c r="D1" s="114"/>
    </row>
    <row r="2" spans="1:4" ht="18.75" customHeight="1">
      <c r="A2" s="96"/>
      <c r="B2" s="97"/>
    </row>
    <row r="3" spans="1:4" ht="18.75" customHeight="1">
      <c r="A3" s="117" t="s">
        <v>52</v>
      </c>
      <c r="B3" s="117"/>
    </row>
    <row r="4" spans="1:4" ht="18.75" customHeight="1">
      <c r="A4" s="118" t="s">
        <v>110</v>
      </c>
      <c r="B4" s="118"/>
    </row>
    <row r="6" spans="1:4" ht="92.25" customHeight="1">
      <c r="A6" s="119" t="s">
        <v>53</v>
      </c>
      <c r="B6" s="119"/>
      <c r="C6" s="119"/>
      <c r="D6" s="119"/>
    </row>
    <row r="7" spans="1:4" ht="18.75" customHeight="1" thickBot="1"/>
    <row r="8" spans="1:4" ht="18.75" customHeight="1" thickBot="1">
      <c r="A8" s="98" t="s">
        <v>34</v>
      </c>
      <c r="C8" s="120" t="s">
        <v>90</v>
      </c>
      <c r="D8" s="121"/>
    </row>
    <row r="9" spans="1:4" ht="18.75" customHeight="1">
      <c r="A9" s="99">
        <v>1</v>
      </c>
      <c r="B9" s="100" t="s">
        <v>97</v>
      </c>
      <c r="C9" s="101" t="s">
        <v>59</v>
      </c>
      <c r="D9" s="91" t="s">
        <v>71</v>
      </c>
    </row>
    <row r="10" spans="1:4" ht="19.5" customHeight="1">
      <c r="A10" s="102">
        <v>2</v>
      </c>
      <c r="B10" s="102" t="s">
        <v>54</v>
      </c>
      <c r="C10" s="103" t="s">
        <v>60</v>
      </c>
      <c r="D10" s="92" t="s">
        <v>100</v>
      </c>
    </row>
    <row r="11" spans="1:4" ht="45.75">
      <c r="A11" s="104">
        <v>3</v>
      </c>
      <c r="B11" s="109" t="s">
        <v>55</v>
      </c>
      <c r="C11" s="103" t="s">
        <v>61</v>
      </c>
      <c r="D11" s="92" t="s">
        <v>106</v>
      </c>
    </row>
    <row r="12" spans="1:4" ht="18.75" customHeight="1">
      <c r="A12" s="104">
        <v>4</v>
      </c>
      <c r="B12" s="104" t="s">
        <v>57</v>
      </c>
      <c r="C12" s="108" t="s">
        <v>98</v>
      </c>
      <c r="D12" s="93">
        <v>37174</v>
      </c>
    </row>
    <row r="13" spans="1:4" ht="19.5" customHeight="1" thickBot="1">
      <c r="A13" s="104">
        <v>5</v>
      </c>
      <c r="B13" s="104" t="s">
        <v>56</v>
      </c>
      <c r="C13" s="112" t="s">
        <v>99</v>
      </c>
      <c r="D13" s="94">
        <v>39128</v>
      </c>
    </row>
    <row r="14" spans="1:4" ht="18.75" customHeight="1">
      <c r="A14" s="104">
        <v>6</v>
      </c>
      <c r="B14" s="104" t="s">
        <v>58</v>
      </c>
    </row>
    <row r="15" spans="1:4" ht="65.25" customHeight="1">
      <c r="A15" s="104">
        <v>7</v>
      </c>
      <c r="B15" s="105" t="s">
        <v>93</v>
      </c>
      <c r="C15" s="105"/>
    </row>
    <row r="16" spans="1:4" ht="30.75">
      <c r="A16" s="104">
        <v>9</v>
      </c>
      <c r="B16" s="105" t="s">
        <v>95</v>
      </c>
    </row>
    <row r="17" spans="1:2" ht="36" customHeight="1">
      <c r="A17" s="104">
        <v>10</v>
      </c>
      <c r="B17" s="105" t="s">
        <v>62</v>
      </c>
    </row>
    <row r="18" spans="1:2" ht="15.75">
      <c r="A18" s="104">
        <v>11</v>
      </c>
      <c r="B18" s="105" t="s">
        <v>108</v>
      </c>
    </row>
    <row r="19" spans="1:2" ht="30.75">
      <c r="A19" s="104">
        <v>12</v>
      </c>
      <c r="B19" s="105" t="s">
        <v>109</v>
      </c>
    </row>
    <row r="20" spans="1:2" ht="18.75" customHeight="1">
      <c r="A20" s="104">
        <v>13</v>
      </c>
      <c r="B20" s="104" t="s">
        <v>96</v>
      </c>
    </row>
    <row r="21" spans="1:2" ht="18.75" customHeight="1">
      <c r="A21" s="104"/>
      <c r="B21" s="105"/>
    </row>
    <row r="23" spans="1:2" ht="18.75" customHeight="1">
      <c r="A23" s="104"/>
      <c r="B23" s="105"/>
    </row>
    <row r="24" spans="1:2" ht="18.75" customHeight="1">
      <c r="A24" s="104"/>
      <c r="B24" s="105"/>
    </row>
    <row r="25" spans="1:2" ht="18.75" customHeight="1">
      <c r="A25" s="104"/>
      <c r="B25" s="105"/>
    </row>
    <row r="26" spans="1:2" ht="18.75" customHeight="1">
      <c r="A26" s="104"/>
      <c r="B26" s="105"/>
    </row>
    <row r="27" spans="1:2" ht="18.75" customHeight="1">
      <c r="A27" s="104"/>
      <c r="B27" s="105"/>
    </row>
    <row r="28" spans="1:2" ht="18.75" customHeight="1">
      <c r="A28" s="102"/>
      <c r="B28" s="106"/>
    </row>
    <row r="29" spans="1:2" ht="18.75" customHeight="1">
      <c r="A29" s="102"/>
      <c r="B29" s="106"/>
    </row>
    <row r="30" spans="1:2" ht="18.75" customHeight="1">
      <c r="A30" s="102"/>
      <c r="B30" s="106"/>
    </row>
    <row r="31" spans="1:2" ht="18.75" customHeight="1">
      <c r="A31" s="102"/>
      <c r="B31" s="106"/>
    </row>
    <row r="32" spans="1:2" ht="18.75" customHeight="1">
      <c r="A32" s="102"/>
      <c r="B32" s="106"/>
    </row>
    <row r="33" spans="1:2" ht="18.75" customHeight="1">
      <c r="A33" s="102"/>
      <c r="B33" s="106"/>
    </row>
    <row r="34" spans="1:2" ht="18.75" customHeight="1">
      <c r="A34" s="102"/>
      <c r="B34" s="102"/>
    </row>
    <row r="35" spans="1:2" ht="18.75" customHeight="1">
      <c r="A35" s="102"/>
      <c r="B35" s="102"/>
    </row>
    <row r="36" spans="1:2" ht="18.75" customHeight="1">
      <c r="A36" s="102"/>
      <c r="B36" s="102"/>
    </row>
    <row r="37" spans="1:2" ht="18.75" customHeight="1">
      <c r="A37" s="102"/>
      <c r="B37" s="102"/>
    </row>
    <row r="38" spans="1:2" ht="18.75" customHeight="1">
      <c r="A38" s="102"/>
      <c r="B38" s="102"/>
    </row>
    <row r="39" spans="1:2" ht="18.75" customHeight="1">
      <c r="A39" s="102"/>
      <c r="B39" s="102"/>
    </row>
    <row r="40" spans="1:2" ht="18.75" customHeight="1">
      <c r="A40" s="102"/>
      <c r="B40" s="102"/>
    </row>
    <row r="41" spans="1:2" ht="18.75" customHeight="1">
      <c r="A41" s="102"/>
      <c r="B41" s="102"/>
    </row>
    <row r="42" spans="1:2" ht="18.75" customHeight="1">
      <c r="A42" s="102"/>
      <c r="B42" s="102"/>
    </row>
    <row r="43" spans="1:2" ht="18.75" customHeight="1">
      <c r="A43" s="102"/>
      <c r="B43" s="102"/>
    </row>
    <row r="44" spans="1:2" ht="18.75" customHeight="1">
      <c r="A44" s="102"/>
      <c r="B44" s="102"/>
    </row>
    <row r="45" spans="1:2" ht="18.75" customHeight="1">
      <c r="A45" s="102"/>
      <c r="B45" s="102"/>
    </row>
    <row r="46" spans="1:2" ht="18.75" customHeight="1">
      <c r="A46" s="102"/>
      <c r="B46" s="102"/>
    </row>
    <row r="47" spans="1:2" ht="18.75" customHeight="1">
      <c r="A47" s="102"/>
      <c r="B47" s="102"/>
    </row>
    <row r="48" spans="1:2" ht="18.75" customHeight="1">
      <c r="A48" s="102"/>
      <c r="B48" s="102"/>
    </row>
    <row r="49" spans="1:2" ht="18.75" customHeight="1">
      <c r="A49" s="102"/>
      <c r="B49" s="102"/>
    </row>
    <row r="50" spans="1:2" ht="18.75" customHeight="1">
      <c r="A50" s="102"/>
      <c r="B50" s="102"/>
    </row>
    <row r="51" spans="1:2" ht="18.75" customHeight="1">
      <c r="A51" s="102"/>
      <c r="B51" s="102"/>
    </row>
    <row r="52" spans="1:2" ht="18.75" customHeight="1">
      <c r="A52" s="102"/>
      <c r="B52" s="102"/>
    </row>
    <row r="53" spans="1:2" ht="18.75" customHeight="1">
      <c r="A53" s="102"/>
      <c r="B53" s="102"/>
    </row>
    <row r="54" spans="1:2" ht="18.75" customHeight="1">
      <c r="A54" s="102"/>
      <c r="B54" s="102"/>
    </row>
    <row r="55" spans="1:2" ht="18.75" customHeight="1">
      <c r="A55" s="102"/>
      <c r="B55" s="102"/>
    </row>
    <row r="56" spans="1:2" ht="18.75" customHeight="1">
      <c r="A56" s="102"/>
      <c r="B56" s="102"/>
    </row>
    <row r="57" spans="1:2" ht="18.75" customHeight="1">
      <c r="A57" s="102"/>
      <c r="B57" s="102"/>
    </row>
    <row r="58" spans="1:2" ht="18.75" customHeight="1">
      <c r="A58" s="102"/>
      <c r="B58" s="102"/>
    </row>
  </sheetData>
  <sheetProtection sheet="1" objects="1" scenarios="1" selectLockedCells="1"/>
  <mergeCells count="6">
    <mergeCell ref="A1:B1"/>
    <mergeCell ref="A3:B3"/>
    <mergeCell ref="A4:B4"/>
    <mergeCell ref="A6:B6"/>
    <mergeCell ref="C8:D8"/>
    <mergeCell ref="C6:D6"/>
  </mergeCells>
  <dataValidations count="3">
    <dataValidation type="list" showInputMessage="1" showErrorMessage="1" sqref="D10">
      <formula1>"Homme,Femme"</formula1>
    </dataValidation>
    <dataValidation type="list" showInputMessage="1" showErrorMessage="1" sqref="D11">
      <formula1>"NU Général,Princeton Est,Princeton Nord,Princeton Sud,Princeton Ouest,SIDA,Autre"</formula1>
    </dataValidation>
    <dataValidation type="list" showDropDown="1" showInputMessage="1" showErrorMessage="1" sqref="A4:B4">
      <formula1>"http://demographicestimation.iussp.org/content/brass-growth-balance-method"</formula1>
    </dataValidation>
  </dataValidations>
  <hyperlinks>
    <hyperlink ref="A4" r:id="rId1" display="http://demographicestimation.iussp.org/content/brass-growth-balance-method"/>
    <hyperlink ref="A4:B4" r:id="rId2" display="http://demographicestimation.iussp.org/fr/content/la-méthode-généralisée-de-la-balance-de-l’accroissement-démographiqu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5" customWidth="1"/>
    <col min="2" max="2" width="12" style="5" customWidth="1"/>
    <col min="3" max="6" width="14.5703125" style="5" customWidth="1"/>
    <col min="7" max="7" width="12.5703125" style="5" customWidth="1"/>
    <col min="8" max="8" width="12.140625" style="5" customWidth="1"/>
    <col min="9" max="9" width="4.5703125" style="5" customWidth="1"/>
    <col min="10" max="10" width="7.5703125" style="5" customWidth="1"/>
    <col min="11" max="15" width="12" style="5" customWidth="1"/>
    <col min="16" max="16" width="11.85546875" style="5" customWidth="1"/>
    <col min="17" max="17" width="10.85546875" style="5" customWidth="1"/>
    <col min="18" max="16384" width="9.140625" style="5"/>
  </cols>
  <sheetData>
    <row r="1" spans="1:17" ht="18.75">
      <c r="A1" s="4" t="s">
        <v>63</v>
      </c>
      <c r="G1" s="6" t="s">
        <v>64</v>
      </c>
      <c r="H1" s="7"/>
      <c r="J1" s="4" t="s">
        <v>65</v>
      </c>
      <c r="P1" s="6" t="s">
        <v>66</v>
      </c>
      <c r="Q1" s="7"/>
    </row>
    <row r="2" spans="1:17" ht="50.1" customHeight="1">
      <c r="A2" s="8" t="s">
        <v>1</v>
      </c>
      <c r="B2" s="113" t="s">
        <v>101</v>
      </c>
      <c r="C2" s="113" t="s">
        <v>102</v>
      </c>
      <c r="D2" s="113" t="s">
        <v>103</v>
      </c>
      <c r="E2" s="113" t="s">
        <v>104</v>
      </c>
      <c r="F2" s="113" t="s">
        <v>105</v>
      </c>
      <c r="G2" s="113" t="s">
        <v>106</v>
      </c>
      <c r="H2" s="113" t="s">
        <v>107</v>
      </c>
      <c r="J2" s="8" t="s">
        <v>1</v>
      </c>
      <c r="K2" s="113" t="s">
        <v>101</v>
      </c>
      <c r="L2" s="113" t="s">
        <v>102</v>
      </c>
      <c r="M2" s="113" t="s">
        <v>103</v>
      </c>
      <c r="N2" s="113" t="s">
        <v>104</v>
      </c>
      <c r="O2" s="113" t="s">
        <v>105</v>
      </c>
      <c r="P2" s="113" t="s">
        <v>106</v>
      </c>
      <c r="Q2" s="113" t="s">
        <v>107</v>
      </c>
    </row>
    <row r="3" spans="1:17">
      <c r="A3" s="9">
        <v>5</v>
      </c>
      <c r="B3" s="10">
        <v>-1.0557703137725243</v>
      </c>
      <c r="C3" s="10">
        <v>-1.0034528162299363</v>
      </c>
      <c r="D3" s="10">
        <v>-1.061325256602174</v>
      </c>
      <c r="E3" s="10">
        <v>-0.90879111177777439</v>
      </c>
      <c r="F3" s="10">
        <v>-1.0842444395521329</v>
      </c>
      <c r="G3" s="11">
        <v>-0.85180455224953355</v>
      </c>
      <c r="H3" s="12"/>
      <c r="J3" s="9">
        <v>5</v>
      </c>
      <c r="K3" s="10">
        <v>-1.1183426521790116</v>
      </c>
      <c r="L3" s="10">
        <v>-1.0839281949744348</v>
      </c>
      <c r="M3" s="10">
        <v>-1.1185632260148939</v>
      </c>
      <c r="N3" s="10">
        <v>-0.97803104804351482</v>
      </c>
      <c r="O3" s="10">
        <v>-1.1443836734991739</v>
      </c>
      <c r="P3" s="10">
        <v>-0.79829676250861992</v>
      </c>
      <c r="Q3" s="12"/>
    </row>
    <row r="4" spans="1:17">
      <c r="A4" s="9">
        <v>10</v>
      </c>
      <c r="B4" s="10">
        <v>-1.0059690881890577</v>
      </c>
      <c r="C4" s="10">
        <v>-0.96210277111891918</v>
      </c>
      <c r="D4" s="10">
        <v>-0.97867737240738273</v>
      </c>
      <c r="E4" s="10">
        <v>-0.87426674682746675</v>
      </c>
      <c r="F4" s="10">
        <v>-1.0329081865332934</v>
      </c>
      <c r="G4" s="10">
        <v>-0.799205207567936</v>
      </c>
      <c r="H4" s="12"/>
      <c r="J4" s="9">
        <v>10</v>
      </c>
      <c r="K4" s="10">
        <v>-1.0743948523980273</v>
      </c>
      <c r="L4" s="10">
        <v>-1.0472539080439389</v>
      </c>
      <c r="M4" s="10">
        <v>-1.0393562968308907</v>
      </c>
      <c r="N4" s="10">
        <v>-0.94784307566733739</v>
      </c>
      <c r="O4" s="10">
        <v>-1.0968312103313975</v>
      </c>
      <c r="P4" s="10">
        <v>-0.73689617552188336</v>
      </c>
      <c r="Q4" s="12"/>
    </row>
    <row r="5" spans="1:17">
      <c r="A5" s="9">
        <v>15</v>
      </c>
      <c r="B5" s="10">
        <v>-0.9778828398588445</v>
      </c>
      <c r="C5" s="10">
        <v>-0.93688771389348002</v>
      </c>
      <c r="D5" s="10">
        <v>-0.93456378789298888</v>
      </c>
      <c r="E5" s="10">
        <v>-0.85272014880258951</v>
      </c>
      <c r="F5" s="10">
        <v>-0.99562585121052949</v>
      </c>
      <c r="G5" s="10">
        <v>-0.77885315149743439</v>
      </c>
      <c r="H5" s="12"/>
      <c r="J5" s="9">
        <v>15</v>
      </c>
      <c r="K5" s="10">
        <v>-1.046640904616448</v>
      </c>
      <c r="L5" s="10">
        <v>-1.0232404683298353</v>
      </c>
      <c r="M5" s="10">
        <v>-0.99810318323243907</v>
      </c>
      <c r="N5" s="10">
        <v>-0.92724294571284704</v>
      </c>
      <c r="O5" s="10">
        <v>-1.0631132391187417</v>
      </c>
      <c r="P5" s="10">
        <v>-0.69613571586652812</v>
      </c>
      <c r="Q5" s="12"/>
    </row>
    <row r="6" spans="1:17">
      <c r="A6" s="9">
        <v>20</v>
      </c>
      <c r="B6" s="10">
        <v>-0.93810586936643969</v>
      </c>
      <c r="C6" s="10">
        <v>-0.90144694160929184</v>
      </c>
      <c r="D6" s="10">
        <v>-0.88577608039760869</v>
      </c>
      <c r="E6" s="10">
        <v>-0.82207221968309652</v>
      </c>
      <c r="F6" s="10">
        <v>-0.94491044364009291</v>
      </c>
      <c r="G6" s="10">
        <v>-0.73999984529103391</v>
      </c>
      <c r="H6" s="12"/>
      <c r="J6" s="9">
        <v>20</v>
      </c>
      <c r="K6" s="10">
        <v>-1.0066773582389617</v>
      </c>
      <c r="L6" s="10">
        <v>-0.98210627496614655</v>
      </c>
      <c r="M6" s="10">
        <v>-0.9416333856114224</v>
      </c>
      <c r="N6" s="10">
        <v>-0.89806980739238718</v>
      </c>
      <c r="O6" s="10">
        <v>-1.0130422551600544</v>
      </c>
      <c r="P6" s="10">
        <v>-0.66544049854843723</v>
      </c>
      <c r="Q6" s="12"/>
    </row>
    <row r="7" spans="1:17">
      <c r="A7" s="9">
        <v>25</v>
      </c>
      <c r="B7" s="10">
        <v>-0.88761866143951096</v>
      </c>
      <c r="C7" s="10">
        <v>-0.85645781794940679</v>
      </c>
      <c r="D7" s="10">
        <v>-0.83063229603261535</v>
      </c>
      <c r="E7" s="10">
        <v>-0.78407707634718316</v>
      </c>
      <c r="F7" s="10">
        <v>-0.88412226434856211</v>
      </c>
      <c r="G7" s="10">
        <v>-0.66746727013803897</v>
      </c>
      <c r="H7" s="12"/>
      <c r="J7" s="9">
        <v>25</v>
      </c>
      <c r="K7" s="10">
        <v>-0.95393531432576628</v>
      </c>
      <c r="L7" s="10">
        <v>-0.92677804853722057</v>
      </c>
      <c r="M7" s="10">
        <v>-0.86920613351053932</v>
      </c>
      <c r="N7" s="10">
        <v>-0.85624317643298331</v>
      </c>
      <c r="O7" s="10">
        <v>-0.94848666240099744</v>
      </c>
      <c r="P7" s="10">
        <v>-0.61930998136655224</v>
      </c>
      <c r="Q7" s="12"/>
    </row>
    <row r="8" spans="1:17">
      <c r="A8" s="9">
        <v>30</v>
      </c>
      <c r="B8" s="10">
        <v>-0.83222308793731981</v>
      </c>
      <c r="C8" s="10">
        <v>-0.80848565605858569</v>
      </c>
      <c r="D8" s="10">
        <v>-0.77200338720246053</v>
      </c>
      <c r="E8" s="10">
        <v>-0.74309524259921955</v>
      </c>
      <c r="F8" s="10">
        <v>-0.82136257147134217</v>
      </c>
      <c r="G8" s="10">
        <v>-0.55497544474088145</v>
      </c>
      <c r="H8" s="12"/>
      <c r="J8" s="9">
        <v>30</v>
      </c>
      <c r="K8" s="10">
        <v>-0.89866730377103976</v>
      </c>
      <c r="L8" s="10">
        <v>-0.87581973706212179</v>
      </c>
      <c r="M8" s="10">
        <v>-0.80208481424719991</v>
      </c>
      <c r="N8" s="10">
        <v>-0.81703262635799434</v>
      </c>
      <c r="O8" s="10">
        <v>-0.88773038554625583</v>
      </c>
      <c r="P8" s="10">
        <v>-0.53826653643964251</v>
      </c>
      <c r="Q8" s="12"/>
    </row>
    <row r="9" spans="1:17">
      <c r="A9" s="9">
        <v>35</v>
      </c>
      <c r="B9" s="10">
        <v>-0.77161320305701064</v>
      </c>
      <c r="C9" s="10">
        <v>-0.75720799673579831</v>
      </c>
      <c r="D9" s="10">
        <v>-0.71174620737879146</v>
      </c>
      <c r="E9" s="10">
        <v>-0.70212800843649648</v>
      </c>
      <c r="F9" s="10">
        <v>-0.75642199010305966</v>
      </c>
      <c r="G9" s="10">
        <v>-0.43949301509733479</v>
      </c>
      <c r="H9" s="12"/>
      <c r="J9" s="9">
        <v>35</v>
      </c>
      <c r="K9" s="10">
        <v>-0.83892900424050876</v>
      </c>
      <c r="L9" s="10">
        <v>-0.82474303239272606</v>
      </c>
      <c r="M9" s="10">
        <v>-0.73732351213430469</v>
      </c>
      <c r="N9" s="10">
        <v>-0.77189439731086973</v>
      </c>
      <c r="O9" s="10">
        <v>-0.8259381775987652</v>
      </c>
      <c r="P9" s="10">
        <v>-0.42396950774757225</v>
      </c>
      <c r="Q9" s="12"/>
    </row>
    <row r="10" spans="1:17">
      <c r="A10" s="9">
        <v>40</v>
      </c>
      <c r="B10" s="10">
        <v>-0.70536613769800149</v>
      </c>
      <c r="C10" s="10">
        <v>-0.70143650532592283</v>
      </c>
      <c r="D10" s="10">
        <v>-0.6489531581506035</v>
      </c>
      <c r="E10" s="10">
        <v>-0.65777314927556685</v>
      </c>
      <c r="F10" s="10">
        <v>-0.68862800696556059</v>
      </c>
      <c r="G10" s="10">
        <v>-0.34752805546091936</v>
      </c>
      <c r="H10" s="12"/>
      <c r="J10" s="9">
        <v>40</v>
      </c>
      <c r="K10" s="10">
        <v>-0.76900214861344063</v>
      </c>
      <c r="L10" s="10">
        <v>-0.76681316903129526</v>
      </c>
      <c r="M10" s="10">
        <v>-0.67218441284437103</v>
      </c>
      <c r="N10" s="10">
        <v>-0.72231250461550289</v>
      </c>
      <c r="O10" s="10">
        <v>-0.75696780176204026</v>
      </c>
      <c r="P10" s="10">
        <v>-0.30537040538400972</v>
      </c>
      <c r="Q10" s="12"/>
    </row>
    <row r="11" spans="1:17">
      <c r="A11" s="9">
        <v>45</v>
      </c>
      <c r="B11" s="10">
        <v>-0.63225842771700302</v>
      </c>
      <c r="C11" s="10">
        <v>-0.64063233149904941</v>
      </c>
      <c r="D11" s="10">
        <v>-0.58010435644994485</v>
      </c>
      <c r="E11" s="10">
        <v>-0.60809129187599065</v>
      </c>
      <c r="F11" s="10">
        <v>-0.61631192568392912</v>
      </c>
      <c r="G11" s="10">
        <v>-0.2796717464607949</v>
      </c>
      <c r="H11" s="12"/>
      <c r="J11" s="9">
        <v>45</v>
      </c>
      <c r="K11" s="10">
        <v>-0.68452755415039701</v>
      </c>
      <c r="L11" s="10">
        <v>-0.69542221623109723</v>
      </c>
      <c r="M11" s="10">
        <v>-0.6004320886314537</v>
      </c>
      <c r="N11" s="10">
        <v>-0.66038885146608195</v>
      </c>
      <c r="O11" s="10">
        <v>-0.67555110779524841</v>
      </c>
      <c r="P11" s="10">
        <v>-0.19102306031916078</v>
      </c>
      <c r="Q11" s="12"/>
    </row>
    <row r="12" spans="1:17">
      <c r="A12" s="9">
        <v>50</v>
      </c>
      <c r="B12" s="10">
        <v>-0.54716064042354773</v>
      </c>
      <c r="C12" s="10">
        <v>-0.56974874560225386</v>
      </c>
      <c r="D12" s="10">
        <v>-0.50864167857923615</v>
      </c>
      <c r="E12" s="10">
        <v>-0.55207839286799509</v>
      </c>
      <c r="F12" s="10">
        <v>-0.53540369879947558</v>
      </c>
      <c r="G12" s="10">
        <v>-0.22679742576773457</v>
      </c>
      <c r="H12" s="12"/>
      <c r="J12" s="9">
        <v>50</v>
      </c>
      <c r="K12" s="10">
        <v>-0.58094867734309374</v>
      </c>
      <c r="L12" s="10">
        <v>-0.60294976503765141</v>
      </c>
      <c r="M12" s="10">
        <v>-0.52059834010621253</v>
      </c>
      <c r="N12" s="10">
        <v>-0.58383201720449152</v>
      </c>
      <c r="O12" s="10">
        <v>-0.57720150892943201</v>
      </c>
      <c r="P12" s="10">
        <v>-9.1258238415243206E-2</v>
      </c>
      <c r="Q12" s="12"/>
    </row>
    <row r="13" spans="1:17">
      <c r="A13" s="9">
        <v>55</v>
      </c>
      <c r="B13" s="10">
        <v>-0.44323137082095437</v>
      </c>
      <c r="C13" s="10">
        <v>-0.48057184541702924</v>
      </c>
      <c r="D13" s="10">
        <v>-0.42279162488953242</v>
      </c>
      <c r="E13" s="10">
        <v>-0.48008226256731529</v>
      </c>
      <c r="F13" s="10">
        <v>-0.43713086722588262</v>
      </c>
      <c r="G13" s="10">
        <v>-0.17320805457698965</v>
      </c>
      <c r="H13" s="12"/>
      <c r="J13" s="9">
        <v>55</v>
      </c>
      <c r="K13" s="10">
        <v>-0.45326106749569572</v>
      </c>
      <c r="L13" s="10">
        <v>-0.48163530200651361</v>
      </c>
      <c r="M13" s="10">
        <v>-0.4210143479136163</v>
      </c>
      <c r="N13" s="10">
        <v>-0.48460666195853785</v>
      </c>
      <c r="O13" s="10">
        <v>-0.45582055810755873</v>
      </c>
      <c r="P13" s="10">
        <v>-5.7787208801094525E-3</v>
      </c>
      <c r="Q13" s="12"/>
    </row>
    <row r="14" spans="1:17">
      <c r="A14" s="9">
        <v>60</v>
      </c>
      <c r="B14" s="10">
        <v>-0.31406112015068494</v>
      </c>
      <c r="C14" s="10">
        <v>-0.36529580454443744</v>
      </c>
      <c r="D14" s="10">
        <v>-0.32102416945414897</v>
      </c>
      <c r="E14" s="10">
        <v>-0.38856998615937</v>
      </c>
      <c r="F14" s="10">
        <v>-0.3186589915311997</v>
      </c>
      <c r="G14" s="10">
        <v>-0.11051999808174573</v>
      </c>
      <c r="H14" s="12"/>
      <c r="J14" s="9">
        <v>60</v>
      </c>
      <c r="K14" s="10">
        <v>-0.29911364237741156</v>
      </c>
      <c r="L14" s="10">
        <v>-0.33065389097350745</v>
      </c>
      <c r="M14" s="10">
        <v>-0.30682105927662073</v>
      </c>
      <c r="N14" s="10">
        <v>-0.35965748316759905</v>
      </c>
      <c r="O14" s="10">
        <v>-0.30741359919534794</v>
      </c>
      <c r="P14" s="10">
        <v>8.0454876803862097E-2</v>
      </c>
      <c r="Q14" s="12"/>
    </row>
    <row r="15" spans="1:17">
      <c r="A15" s="9">
        <v>65</v>
      </c>
      <c r="B15" s="10">
        <v>-0.15350037229977559</v>
      </c>
      <c r="C15" s="10">
        <v>-0.21177193364854202</v>
      </c>
      <c r="D15" s="10">
        <v>-0.18761837894537206</v>
      </c>
      <c r="E15" s="10">
        <v>-0.25906906882787523</v>
      </c>
      <c r="F15" s="10">
        <v>-0.16637525937102554</v>
      </c>
      <c r="G15" s="10">
        <v>-2.4564773576284834E-2</v>
      </c>
      <c r="H15" s="12"/>
      <c r="J15" s="9">
        <v>65</v>
      </c>
      <c r="K15" s="10">
        <v>-0.11199770547699364</v>
      </c>
      <c r="L15" s="10">
        <v>-0.14845486484458761</v>
      </c>
      <c r="M15" s="10">
        <v>-0.16058401337471645</v>
      </c>
      <c r="N15" s="10">
        <v>-0.20182323747925654</v>
      </c>
      <c r="O15" s="10">
        <v>-0.1262176157653675</v>
      </c>
      <c r="P15" s="10">
        <v>0.18406648298591774</v>
      </c>
      <c r="Q15" s="12"/>
    </row>
    <row r="16" spans="1:17">
      <c r="A16" s="9">
        <v>70</v>
      </c>
      <c r="B16" s="10">
        <v>4.7202694544060057E-2</v>
      </c>
      <c r="C16" s="10">
        <v>-6.4627267002444113E-3</v>
      </c>
      <c r="D16" s="10">
        <v>-1.046876480077538E-2</v>
      </c>
      <c r="E16" s="10">
        <v>-7.9751647450351681E-2</v>
      </c>
      <c r="F16" s="10">
        <v>2.5988333390229997E-2</v>
      </c>
      <c r="G16" s="10">
        <v>0.1003150483892048</v>
      </c>
      <c r="H16" s="12"/>
      <c r="J16" s="9">
        <v>70</v>
      </c>
      <c r="K16" s="10">
        <v>0.11350757351291885</v>
      </c>
      <c r="L16" s="10">
        <v>7.4350889929898981E-2</v>
      </c>
      <c r="M16" s="10">
        <v>2.5027307118656625E-2</v>
      </c>
      <c r="N16" s="10">
        <v>-3.6304814007426826E-3</v>
      </c>
      <c r="O16" s="10">
        <v>9.2839228680570429E-2</v>
      </c>
      <c r="P16" s="10">
        <v>0.32605808533447933</v>
      </c>
      <c r="Q16" s="12"/>
    </row>
    <row r="17" spans="1:17">
      <c r="A17" s="9">
        <v>75</v>
      </c>
      <c r="B17" s="10">
        <v>0.29831344083201977</v>
      </c>
      <c r="C17" s="10">
        <v>0.26683377074043363</v>
      </c>
      <c r="D17" s="10">
        <v>0.22405908607537503</v>
      </c>
      <c r="E17" s="10">
        <v>0.17544223413848195</v>
      </c>
      <c r="F17" s="10">
        <v>0.27789225951999852</v>
      </c>
      <c r="G17" s="10">
        <v>0.26437837247892709</v>
      </c>
      <c r="H17" s="12"/>
      <c r="J17" s="9">
        <v>75</v>
      </c>
      <c r="K17" s="10">
        <v>0.38394770191107502</v>
      </c>
      <c r="L17" s="10">
        <v>0.35688919667802921</v>
      </c>
      <c r="M17" s="10">
        <v>0.26393791547571011</v>
      </c>
      <c r="N17" s="10">
        <v>0.26264157768898094</v>
      </c>
      <c r="O17" s="10">
        <v>0.36516868997048274</v>
      </c>
      <c r="P17" s="10">
        <v>0.5118891879176225</v>
      </c>
      <c r="Q17" s="12"/>
    </row>
    <row r="18" spans="1:17">
      <c r="A18" s="9">
        <v>80</v>
      </c>
      <c r="B18" s="10">
        <v>0.61317544977380356</v>
      </c>
      <c r="C18" s="10">
        <v>0.63032567098022951</v>
      </c>
      <c r="D18" s="10">
        <v>0.53050000260347951</v>
      </c>
      <c r="E18" s="10">
        <v>0.52941084062316079</v>
      </c>
      <c r="F18" s="10">
        <v>0.60865330973735543</v>
      </c>
      <c r="G18" s="10">
        <v>0.47887517915207028</v>
      </c>
      <c r="H18" s="12"/>
      <c r="J18" s="9">
        <v>80</v>
      </c>
      <c r="K18" s="10">
        <v>0.71024327752276806</v>
      </c>
      <c r="L18" s="10">
        <v>0.72453107950166995</v>
      </c>
      <c r="M18" s="10">
        <v>0.57732480411031639</v>
      </c>
      <c r="N18" s="10">
        <v>0.63094192216713241</v>
      </c>
      <c r="O18" s="10">
        <v>0.71611699723844735</v>
      </c>
      <c r="P18" s="10">
        <v>0.75588193380852187</v>
      </c>
      <c r="Q18" s="12"/>
    </row>
    <row r="19" spans="1:17">
      <c r="A19" s="13">
        <v>85</v>
      </c>
      <c r="B19" s="14">
        <v>1.0181822931175846</v>
      </c>
      <c r="C19" s="14">
        <v>1.1331829930730626</v>
      </c>
      <c r="D19" s="14">
        <v>0.94458953171090765</v>
      </c>
      <c r="E19" s="14">
        <v>1.0331091244568076</v>
      </c>
      <c r="F19" s="14">
        <v>1.0566921142266263</v>
      </c>
      <c r="G19" s="14">
        <v>0.76832737327098732</v>
      </c>
      <c r="H19" s="15"/>
      <c r="J19" s="13">
        <v>85</v>
      </c>
      <c r="K19" s="14">
        <v>1.1175905321542541</v>
      </c>
      <c r="L19" s="14">
        <v>1.2272198084146826</v>
      </c>
      <c r="M19" s="14">
        <v>1.0013626443891026</v>
      </c>
      <c r="N19" s="14">
        <v>1.1510053247399854</v>
      </c>
      <c r="O19" s="14">
        <v>1.1877303063916866</v>
      </c>
      <c r="P19" s="14">
        <v>1.0995381024185025</v>
      </c>
      <c r="Q19" s="15"/>
    </row>
    <row r="21" spans="1:17" ht="15.75">
      <c r="A21" s="16" t="s">
        <v>67</v>
      </c>
      <c r="G21" s="17"/>
      <c r="H21" s="17"/>
    </row>
    <row r="22" spans="1:17">
      <c r="A22" s="18"/>
      <c r="B22" s="18"/>
    </row>
    <row r="23" spans="1:17" ht="15.75">
      <c r="A23" s="19"/>
      <c r="B23" s="20" t="str">
        <f>Introduction!D11</f>
        <v>SIDA</v>
      </c>
      <c r="C23" s="20"/>
      <c r="D23" s="20" t="s">
        <v>36</v>
      </c>
    </row>
    <row r="24" spans="1:17" ht="16.5">
      <c r="A24" s="21" t="s">
        <v>1</v>
      </c>
      <c r="B24" s="22" t="s">
        <v>35</v>
      </c>
      <c r="C24" s="22"/>
      <c r="D24" s="22" t="s">
        <v>68</v>
      </c>
    </row>
    <row r="25" spans="1:17" ht="16.5">
      <c r="A25" s="23"/>
      <c r="B25" s="24" t="s">
        <v>37</v>
      </c>
      <c r="C25" s="24"/>
      <c r="D25" s="24" t="s">
        <v>38</v>
      </c>
    </row>
    <row r="26" spans="1:17">
      <c r="A26" s="9">
        <v>5</v>
      </c>
      <c r="B26" s="25">
        <f>IF(Introduction!$D$10="Femme",HLOOKUP(Introduction!D$11,$B$2:$H$19,ROW()-ROW(B$26)+2,FALSE),HLOOKUP(Introduction!D$11,$K$2:$Q$19,ROW()-ROW(B$26)+2,FALSE))</f>
        <v>-0.85180455224953355</v>
      </c>
      <c r="C26" s="25">
        <f>1/(1+EXP(2*B26))</f>
        <v>0.8460055170956382</v>
      </c>
      <c r="D26" s="25">
        <f>C26/C$26</f>
        <v>1</v>
      </c>
    </row>
    <row r="27" spans="1:17">
      <c r="A27" s="9">
        <v>10</v>
      </c>
      <c r="B27" s="26">
        <f>IF(Introduction!$D$10="Femme",HLOOKUP(Introduction!D$11,$B$2:$H$19,ROW()-ROW(B$26)+2,FALSE),HLOOKUP(Introduction!D$11,$K$2:$Q$19,ROW()-ROW(B$26)+2,FALSE))</f>
        <v>-0.799205207567936</v>
      </c>
      <c r="C27" s="26">
        <f>1/(1+EXP(2*B27))</f>
        <v>0.83179610145755278</v>
      </c>
      <c r="D27" s="26">
        <f>C27/C$26</f>
        <v>0.98320410996033836</v>
      </c>
    </row>
    <row r="28" spans="1:17">
      <c r="A28" s="9">
        <v>15</v>
      </c>
      <c r="B28" s="26">
        <f>IF(Introduction!$D$10="Femme",HLOOKUP(Introduction!D$11,$B$2:$H$19,ROW()-ROW(B$26)+2,FALSE),HLOOKUP(Introduction!D$11,$K$2:$Q$19,ROW()-ROW(B$26)+2,FALSE))</f>
        <v>-0.77885315149743439</v>
      </c>
      <c r="C28" s="26">
        <f t="shared" ref="C28:C41" si="0">1/(1+EXP(2*B28))</f>
        <v>0.82602397598239741</v>
      </c>
      <c r="D28" s="26">
        <f t="shared" ref="D28:D41" si="1">C28/C$26</f>
        <v>0.97638131110322068</v>
      </c>
    </row>
    <row r="29" spans="1:17">
      <c r="A29" s="9">
        <v>20</v>
      </c>
      <c r="B29" s="26">
        <f>IF(Introduction!$D$10="Femme",HLOOKUP(Introduction!D$11,$B$2:$H$19,ROW()-ROW(B$26)+2,FALSE),HLOOKUP(Introduction!D$11,$K$2:$Q$19,ROW()-ROW(B$26)+2,FALSE))</f>
        <v>-0.73999984529103391</v>
      </c>
      <c r="C29" s="26">
        <f t="shared" si="0"/>
        <v>0.81457253397126284</v>
      </c>
      <c r="D29" s="26">
        <f t="shared" si="1"/>
        <v>0.9628454159113693</v>
      </c>
    </row>
    <row r="30" spans="1:17">
      <c r="A30" s="9">
        <v>25</v>
      </c>
      <c r="B30" s="26">
        <f>IF(Introduction!$D$10="Femme",HLOOKUP(Introduction!D$11,$B$2:$H$19,ROW()-ROW(B$26)+2,FALSE),HLOOKUP(Introduction!D$11,$K$2:$Q$19,ROW()-ROW(B$26)+2,FALSE))</f>
        <v>-0.66746727013803897</v>
      </c>
      <c r="C30" s="26">
        <f t="shared" si="0"/>
        <v>0.79165569420837567</v>
      </c>
      <c r="D30" s="26">
        <f t="shared" si="1"/>
        <v>0.9357571294879411</v>
      </c>
    </row>
    <row r="31" spans="1:17">
      <c r="A31" s="9">
        <v>30</v>
      </c>
      <c r="B31" s="26">
        <f>IF(Introduction!$D$10="Femme",HLOOKUP(Introduction!D$11,$B$2:$H$19,ROW()-ROW(B$26)+2,FALSE),HLOOKUP(Introduction!D$11,$K$2:$Q$19,ROW()-ROW(B$26)+2,FALSE))</f>
        <v>-0.55497544474088145</v>
      </c>
      <c r="C31" s="26">
        <f t="shared" si="0"/>
        <v>0.75211995560753997</v>
      </c>
      <c r="D31" s="26">
        <f t="shared" si="1"/>
        <v>0.88902488270950042</v>
      </c>
    </row>
    <row r="32" spans="1:17">
      <c r="A32" s="9">
        <v>35</v>
      </c>
      <c r="B32" s="26">
        <f>IF(Introduction!$D$10="Femme",HLOOKUP(Introduction!D$11,$B$2:$H$19,ROW()-ROW(B$26)+2,FALSE),HLOOKUP(Introduction!D$11,$K$2:$Q$19,ROW()-ROW(B$26)+2,FALSE))</f>
        <v>-0.43949301509733479</v>
      </c>
      <c r="C32" s="26">
        <f t="shared" si="0"/>
        <v>0.70661205758212275</v>
      </c>
      <c r="D32" s="26">
        <f t="shared" si="1"/>
        <v>0.83523339186716261</v>
      </c>
    </row>
    <row r="33" spans="1:4">
      <c r="A33" s="9">
        <v>40</v>
      </c>
      <c r="B33" s="26">
        <f>IF(Introduction!$D$10="Femme",HLOOKUP(Introduction!D$11,$B$2:$H$19,ROW()-ROW(B$26)+2,FALSE),HLOOKUP(Introduction!D$11,$K$2:$Q$19,ROW()-ROW(B$26)+2,FALSE))</f>
        <v>-0.34752805546091936</v>
      </c>
      <c r="C33" s="26">
        <f t="shared" si="0"/>
        <v>0.66709073836442057</v>
      </c>
      <c r="D33" s="26">
        <f t="shared" si="1"/>
        <v>0.78851818916567196</v>
      </c>
    </row>
    <row r="34" spans="1:4">
      <c r="A34" s="9">
        <v>45</v>
      </c>
      <c r="B34" s="26">
        <f>IF(Introduction!$D$10="Femme",HLOOKUP(Introduction!D$11,$B$2:$H$19,ROW()-ROW(B$26)+2,FALSE),HLOOKUP(Introduction!D$11,$K$2:$Q$19,ROW()-ROW(B$26)+2,FALSE))</f>
        <v>-0.2796717464607949</v>
      </c>
      <c r="C34" s="26">
        <f t="shared" si="0"/>
        <v>0.63630062360786621</v>
      </c>
      <c r="D34" s="26">
        <f t="shared" si="1"/>
        <v>0.75212349180925553</v>
      </c>
    </row>
    <row r="35" spans="1:4">
      <c r="A35" s="9">
        <v>50</v>
      </c>
      <c r="B35" s="26">
        <f>IF(Introduction!$D$10="Femme",HLOOKUP(Introduction!D$11,$B$2:$H$19,ROW()-ROW(B$26)+2,FALSE),HLOOKUP(Introduction!D$11,$K$2:$Q$19,ROW()-ROW(B$26)+2,FALSE))</f>
        <v>-0.22679742576773457</v>
      </c>
      <c r="C35" s="26">
        <f t="shared" si="0"/>
        <v>0.61149360138230746</v>
      </c>
      <c r="D35" s="26">
        <f t="shared" si="1"/>
        <v>0.72280096172609243</v>
      </c>
    </row>
    <row r="36" spans="1:4">
      <c r="A36" s="9">
        <v>55</v>
      </c>
      <c r="B36" s="26">
        <f>IF(Introduction!$D$10="Femme",HLOOKUP(Introduction!D$11,$B$2:$H$19,ROW()-ROW(B$26)+2,FALSE),HLOOKUP(Introduction!D$11,$K$2:$Q$19,ROW()-ROW(B$26)+2,FALSE))</f>
        <v>-0.17320805457698965</v>
      </c>
      <c r="C36" s="26">
        <f t="shared" si="0"/>
        <v>0.58574822578213226</v>
      </c>
      <c r="D36" s="26">
        <f t="shared" si="1"/>
        <v>0.69236927413076821</v>
      </c>
    </row>
    <row r="37" spans="1:4">
      <c r="A37" s="9">
        <v>60</v>
      </c>
      <c r="B37" s="26">
        <f>IF(Introduction!$D$10="Femme",HLOOKUP(Introduction!D$11,$B$2:$H$19,ROW()-ROW(B$26)+2,FALSE),HLOOKUP(Introduction!D$11,$K$2:$Q$19,ROW()-ROW(B$26)+2,FALSE))</f>
        <v>-0.11051999808174573</v>
      </c>
      <c r="C37" s="26">
        <f t="shared" si="0"/>
        <v>0.55503609870769621</v>
      </c>
      <c r="D37" s="26">
        <f t="shared" si="1"/>
        <v>0.65606676019460419</v>
      </c>
    </row>
    <row r="38" spans="1:4">
      <c r="A38" s="9">
        <v>65</v>
      </c>
      <c r="B38" s="26">
        <f>IF(Introduction!$D$10="Femme",HLOOKUP(Introduction!D$11,$B$2:$H$19,ROW()-ROW(B$26)+2,FALSE),HLOOKUP(Introduction!D$11,$K$2:$Q$19,ROW()-ROW(B$26)+2,FALSE))</f>
        <v>-2.4564773576284834E-2</v>
      </c>
      <c r="C38" s="26">
        <f t="shared" si="0"/>
        <v>0.51227991687186292</v>
      </c>
      <c r="D38" s="26">
        <f t="shared" si="1"/>
        <v>0.60552786775024225</v>
      </c>
    </row>
    <row r="39" spans="1:4">
      <c r="A39" s="9">
        <v>70</v>
      </c>
      <c r="B39" s="26">
        <f>IF(Introduction!$D$10="Femme",HLOOKUP(Introduction!D$11,$B$2:$H$19,ROW()-ROW(B$26)+2,FALSE),HLOOKUP(Introduction!D$11,$K$2:$Q$19,ROW()-ROW(B$26)+2,FALSE))</f>
        <v>0.1003150483892048</v>
      </c>
      <c r="C39" s="26">
        <f t="shared" si="0"/>
        <v>0.45001004819462181</v>
      </c>
      <c r="D39" s="26">
        <f t="shared" si="1"/>
        <v>0.53192330203651572</v>
      </c>
    </row>
    <row r="40" spans="1:4">
      <c r="A40" s="9">
        <v>75</v>
      </c>
      <c r="B40" s="26">
        <f>IF(Introduction!$D$10="Femme",HLOOKUP(Introduction!D$11,$B$2:$H$19,ROW()-ROW(B$26)+2,FALSE),HLOOKUP(Introduction!D$11,$K$2:$Q$19,ROW()-ROW(B$26)+2,FALSE))</f>
        <v>0.26437837247892709</v>
      </c>
      <c r="C40" s="26">
        <f t="shared" si="0"/>
        <v>0.37080690418251255</v>
      </c>
      <c r="D40" s="26">
        <f t="shared" si="1"/>
        <v>0.43830317496687676</v>
      </c>
    </row>
    <row r="41" spans="1:4">
      <c r="A41" s="9">
        <v>80</v>
      </c>
      <c r="B41" s="26">
        <f>IF(Introduction!$D$10="Femme",HLOOKUP(Introduction!D$11,$B$2:$H$19,ROW()-ROW(B$26)+2,FALSE),HLOOKUP(Introduction!D$11,$K$2:$Q$19,ROW()-ROW(B$26)+2,FALSE))</f>
        <v>0.47887517915207028</v>
      </c>
      <c r="C41" s="26">
        <f t="shared" si="0"/>
        <v>0.27732883662925017</v>
      </c>
      <c r="D41" s="26">
        <f t="shared" si="1"/>
        <v>0.32780972585300416</v>
      </c>
    </row>
    <row r="42" spans="1:4">
      <c r="A42" s="13">
        <v>85</v>
      </c>
      <c r="B42" s="27">
        <f>IF(Introduction!$D$10="Femme",HLOOKUP(Introduction!D$11,$B$2:$H$19,ROW()-ROW(B$26)+2,FALSE),HLOOKUP(Introduction!D$11,$K$2:$Q$19,ROW()-ROW(B$26)+2,FALSE))</f>
        <v>0.76832737327098732</v>
      </c>
      <c r="C42" s="27">
        <f>1/(1+EXP(2*B42))</f>
        <v>0.17702210251466602</v>
      </c>
      <c r="D42" s="27">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I1" sqref="I1"/>
    </sheetView>
  </sheetViews>
  <sheetFormatPr defaultColWidth="9.140625"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69</v>
      </c>
      <c r="C1" s="30" t="str">
        <f>Introduction!D9</f>
        <v>Afrique du sud</v>
      </c>
      <c r="K1" s="41" t="s">
        <v>74</v>
      </c>
    </row>
    <row r="2" spans="1:18">
      <c r="B2" s="30"/>
      <c r="C2" s="31"/>
      <c r="E2" s="1" t="s">
        <v>73</v>
      </c>
      <c r="F2" s="30"/>
      <c r="G2" s="31">
        <f>YEAR(Introduction!D12)+YEARFRAC(DATE(YEAR(Introduction!D12),1,1),Introduction!D12,1)+YEARFRAC(Introduction!D12,Introduction!D13+1,1)/2</f>
        <v>2004.4496371685209</v>
      </c>
      <c r="H2" s="33"/>
      <c r="K2" s="41" t="s">
        <v>75</v>
      </c>
      <c r="L2" s="49">
        <v>5</v>
      </c>
    </row>
    <row r="3" spans="1:18">
      <c r="A3" s="1" t="s">
        <v>70</v>
      </c>
      <c r="C3" s="1" t="str">
        <f>Introduction!D10</f>
        <v>Femme</v>
      </c>
      <c r="E3" s="1" t="s">
        <v>72</v>
      </c>
      <c r="G3" s="31">
        <f>YEARFRAC(Introduction!D12,Introduction!D13+1,1)</f>
        <v>5.3540688575899837</v>
      </c>
      <c r="K3" s="41" t="s">
        <v>76</v>
      </c>
      <c r="L3" s="50">
        <v>84</v>
      </c>
      <c r="M3" s="34" t="s">
        <v>77</v>
      </c>
      <c r="N3" s="35"/>
      <c r="O3" s="34">
        <f>MAX(B21:B24)+5</f>
        <v>85</v>
      </c>
    </row>
    <row r="5" spans="1:18">
      <c r="C5" s="32"/>
      <c r="D5" s="32"/>
      <c r="F5" s="37"/>
    </row>
    <row r="6" spans="1:18" ht="30" customHeight="1">
      <c r="A6" s="38" t="s">
        <v>1</v>
      </c>
      <c r="B6" s="38" t="s">
        <v>0</v>
      </c>
      <c r="C6" s="39" t="s">
        <v>39</v>
      </c>
      <c r="D6" s="39" t="s">
        <v>40</v>
      </c>
      <c r="E6" s="39" t="s">
        <v>41</v>
      </c>
      <c r="F6" s="39" t="s">
        <v>42</v>
      </c>
      <c r="G6" s="48" t="s">
        <v>4</v>
      </c>
      <c r="H6" s="48" t="s">
        <v>5</v>
      </c>
      <c r="I6" s="48" t="s">
        <v>6</v>
      </c>
      <c r="J6" s="48" t="s">
        <v>32</v>
      </c>
      <c r="K6" s="48" t="s">
        <v>7</v>
      </c>
      <c r="L6" s="48" t="s">
        <v>8</v>
      </c>
      <c r="M6" s="48" t="s">
        <v>50</v>
      </c>
      <c r="N6" s="48" t="s">
        <v>33</v>
      </c>
      <c r="O6" s="48" t="s">
        <v>49</v>
      </c>
      <c r="P6" s="54" t="s">
        <v>51</v>
      </c>
      <c r="Q6" s="48" t="s">
        <v>9</v>
      </c>
      <c r="R6" s="55" t="s">
        <v>78</v>
      </c>
    </row>
    <row r="7" spans="1:18">
      <c r="A7" s="40">
        <f>COLUMN()</f>
        <v>1</v>
      </c>
      <c r="B7" s="40">
        <f>COLUMN()</f>
        <v>2</v>
      </c>
      <c r="C7" s="40">
        <f>COLUMN()</f>
        <v>3</v>
      </c>
      <c r="D7" s="40">
        <f>COLUMN()</f>
        <v>4</v>
      </c>
      <c r="E7" s="40">
        <f>COLUMN()</f>
        <v>5</v>
      </c>
      <c r="F7" s="40">
        <f>COLUMN()</f>
        <v>6</v>
      </c>
      <c r="G7" s="40">
        <f>COLUMN()</f>
        <v>7</v>
      </c>
      <c r="H7" s="40">
        <f>COLUMN()</f>
        <v>8</v>
      </c>
      <c r="I7" s="40">
        <f>COLUMN()</f>
        <v>9</v>
      </c>
      <c r="J7" s="40">
        <f>COLUMN()</f>
        <v>10</v>
      </c>
      <c r="K7" s="40">
        <f>COLUMN()</f>
        <v>11</v>
      </c>
      <c r="L7" s="40">
        <f>COLUMN()</f>
        <v>12</v>
      </c>
      <c r="M7" s="40">
        <f>COLUMN()</f>
        <v>13</v>
      </c>
      <c r="N7" s="40">
        <f>COLUMN()</f>
        <v>14</v>
      </c>
      <c r="O7" s="40">
        <f>COLUMN()</f>
        <v>15</v>
      </c>
      <c r="P7" s="40">
        <f>COLUMN()</f>
        <v>16</v>
      </c>
      <c r="Q7" s="40">
        <f>COLUMN()</f>
        <v>17</v>
      </c>
      <c r="R7" s="40">
        <f>COLUMN()</f>
        <v>18</v>
      </c>
    </row>
    <row r="8" spans="1:18">
      <c r="A8" s="41" t="s">
        <v>12</v>
      </c>
      <c r="B8" s="1">
        <v>0</v>
      </c>
      <c r="C8" s="51">
        <v>2225307</v>
      </c>
      <c r="D8" s="51">
        <v>2487351.4</v>
      </c>
      <c r="E8" s="51">
        <v>173206.50684931508</v>
      </c>
      <c r="F8" s="51">
        <v>10642.906445235865</v>
      </c>
      <c r="G8" s="43">
        <f t="shared" ref="G8:H20" si="0">G9+C8</f>
        <v>23385731</v>
      </c>
      <c r="H8" s="43">
        <f t="shared" si="0"/>
        <v>25003493.479899619</v>
      </c>
      <c r="I8" s="43">
        <f t="shared" ref="I8:I19" si="1">I9+E8</f>
        <v>1508748.2493150684</v>
      </c>
      <c r="J8" s="43">
        <f t="shared" ref="J8:J19" si="2">J9+F8</f>
        <v>67410.772578966789</v>
      </c>
      <c r="K8" s="43">
        <f>G$3*(G8*H8)^0.5</f>
        <v>129467205.30101939</v>
      </c>
      <c r="L8" s="43"/>
      <c r="M8" s="36"/>
      <c r="N8" s="29" t="e">
        <f>IF(L8="", NA(),(H8-G8-J8)/K8)</f>
        <v>#N/A</v>
      </c>
      <c r="O8" s="29">
        <v>0</v>
      </c>
      <c r="Q8" s="47">
        <f t="shared" ref="Q8:Q24" ca="1" si="3">Q$27+Q$32*O8</f>
        <v>-2.4451671057392627E-3</v>
      </c>
      <c r="R8" s="47"/>
    </row>
    <row r="9" spans="1:18">
      <c r="A9" s="41" t="s">
        <v>13</v>
      </c>
      <c r="B9" s="1">
        <v>5</v>
      </c>
      <c r="C9" s="51">
        <v>2427103</v>
      </c>
      <c r="D9" s="51">
        <v>2550916</v>
      </c>
      <c r="E9" s="51">
        <v>12995.802739726028</v>
      </c>
      <c r="F9" s="51">
        <v>3810.4340464765278</v>
      </c>
      <c r="G9" s="43">
        <f t="shared" si="0"/>
        <v>21160424</v>
      </c>
      <c r="H9" s="43">
        <f t="shared" si="0"/>
        <v>22516142.07989962</v>
      </c>
      <c r="I9" s="43">
        <f t="shared" si="1"/>
        <v>1335541.7424657533</v>
      </c>
      <c r="J9" s="43">
        <f t="shared" si="2"/>
        <v>56767.866133730924</v>
      </c>
      <c r="K9" s="43">
        <f t="shared" ref="K9:K25" si="4">G$3*(G9*H9)^0.5</f>
        <v>116867330.8609727</v>
      </c>
      <c r="L9" s="43">
        <f>G$3*(C8*D9)^0.5/5</f>
        <v>2551273.3578020954</v>
      </c>
      <c r="M9" s="29">
        <f>IF(L9="",NA(),L9/K9)</f>
        <v>2.1830509339150837E-2</v>
      </c>
      <c r="N9" s="29">
        <f>IF(L9="", NA(),(H9-G9-J9)/K9)</f>
        <v>1.1114741854685993E-2</v>
      </c>
      <c r="O9" s="29">
        <f t="shared" ref="O9:O23" si="5">IF(L9="",NA(),I9/K9)</f>
        <v>1.1427844998484099E-2</v>
      </c>
      <c r="P9" s="29">
        <f t="shared" ref="P9:P14" si="6">IF(L$2&lt;B10,M9-N9,NA())</f>
        <v>1.0715767484464844E-2</v>
      </c>
      <c r="Q9" s="47">
        <f t="shared" ca="1" si="3"/>
        <v>1.0370937015331726E-2</v>
      </c>
      <c r="R9" s="47">
        <f t="shared" ref="R9:R15" ca="1" si="7">IF(L$2&lt;B10,P9-Q9,NA())</f>
        <v>3.448304691331186E-4</v>
      </c>
    </row>
    <row r="10" spans="1:18">
      <c r="A10" s="41" t="s">
        <v>14</v>
      </c>
      <c r="B10" s="1">
        <v>10</v>
      </c>
      <c r="C10" s="51">
        <v>2542977</v>
      </c>
      <c r="D10" s="51">
        <v>2488108.7000000002</v>
      </c>
      <c r="E10" s="51">
        <v>9228.2602739726026</v>
      </c>
      <c r="F10" s="51">
        <v>3835.3498548006219</v>
      </c>
      <c r="G10" s="43">
        <f t="shared" si="0"/>
        <v>18733321</v>
      </c>
      <c r="H10" s="43">
        <f t="shared" si="0"/>
        <v>19965226.07989962</v>
      </c>
      <c r="I10" s="43">
        <f t="shared" si="1"/>
        <v>1322545.9397260274</v>
      </c>
      <c r="J10" s="43">
        <f t="shared" si="2"/>
        <v>52957.432087254398</v>
      </c>
      <c r="K10" s="43">
        <f t="shared" si="4"/>
        <v>103544838.69972628</v>
      </c>
      <c r="L10" s="43">
        <f t="shared" ref="L10:L20" si="8">G$3*(C9*D10)^0.5/5</f>
        <v>2631435.4818918388</v>
      </c>
      <c r="M10" s="29">
        <f t="shared" ref="M10:M20" si="9">IF(L10="",NA(),L10/K10)</f>
        <v>2.5413487672937916E-2</v>
      </c>
      <c r="N10" s="29">
        <f t="shared" ref="N10:N24" si="10">IF(L10="", NA(),(H10-G10-J10)/K10)</f>
        <v>1.1385865897490478E-2</v>
      </c>
      <c r="O10" s="29">
        <f t="shared" si="5"/>
        <v>1.2772688202850265E-2</v>
      </c>
      <c r="P10" s="29">
        <f t="shared" si="6"/>
        <v>1.4027621775447438E-2</v>
      </c>
      <c r="Q10" s="47">
        <f t="shared" ca="1" si="3"/>
        <v>1.1879152303162268E-2</v>
      </c>
      <c r="R10" s="47">
        <f t="shared" ca="1" si="7"/>
        <v>2.1484694722851694E-3</v>
      </c>
    </row>
    <row r="11" spans="1:18">
      <c r="A11" s="41" t="s">
        <v>15</v>
      </c>
      <c r="B11" s="1">
        <v>15</v>
      </c>
      <c r="C11" s="51">
        <v>2528703</v>
      </c>
      <c r="D11" s="51">
        <v>2534285</v>
      </c>
      <c r="E11" s="51">
        <v>23962.673972602737</v>
      </c>
      <c r="F11" s="51">
        <v>9875.0936904858791</v>
      </c>
      <c r="G11" s="43">
        <f t="shared" si="0"/>
        <v>16190344</v>
      </c>
      <c r="H11" s="43">
        <f t="shared" si="0"/>
        <v>17477117.379899621</v>
      </c>
      <c r="I11" s="43">
        <f t="shared" si="1"/>
        <v>1313317.6794520549</v>
      </c>
      <c r="J11" s="43">
        <f t="shared" si="2"/>
        <v>49122.082232453773</v>
      </c>
      <c r="K11" s="43">
        <f t="shared" si="4"/>
        <v>90063100.115202248</v>
      </c>
      <c r="L11" s="43">
        <f>G$3*(C10*D11)^0.5/5</f>
        <v>2718397.0521087972</v>
      </c>
      <c r="M11" s="29">
        <f t="shared" si="9"/>
        <v>3.0183249839630426E-2</v>
      </c>
      <c r="N11" s="29">
        <f t="shared" si="10"/>
        <v>1.3742046366203834E-2</v>
      </c>
      <c r="O11" s="29">
        <f t="shared" si="5"/>
        <v>1.4582194903041903E-2</v>
      </c>
      <c r="P11" s="29">
        <f t="shared" si="6"/>
        <v>1.6441203473426591E-2</v>
      </c>
      <c r="Q11" s="47">
        <f t="shared" ca="1" si="3"/>
        <v>1.3908478591758928E-2</v>
      </c>
      <c r="R11" s="47">
        <f t="shared" ca="1" si="7"/>
        <v>2.5327248816676626E-3</v>
      </c>
    </row>
    <row r="12" spans="1:18">
      <c r="A12" s="41" t="s">
        <v>16</v>
      </c>
      <c r="B12" s="1">
        <v>20</v>
      </c>
      <c r="C12" s="51">
        <v>2195331</v>
      </c>
      <c r="D12" s="51">
        <v>2422487.4</v>
      </c>
      <c r="E12" s="51">
        <v>75445.72054794521</v>
      </c>
      <c r="F12" s="51">
        <v>9366.0098454308609</v>
      </c>
      <c r="G12" s="43">
        <f t="shared" si="0"/>
        <v>13661641</v>
      </c>
      <c r="H12" s="43">
        <f t="shared" si="0"/>
        <v>14942832.379899621</v>
      </c>
      <c r="I12" s="43">
        <f t="shared" si="1"/>
        <v>1289355.0054794522</v>
      </c>
      <c r="J12" s="43">
        <f t="shared" si="2"/>
        <v>39246.98854196789</v>
      </c>
      <c r="K12" s="43">
        <f>G$3*(G12*H12)^0.5</f>
        <v>76498311.448898971</v>
      </c>
      <c r="L12" s="43">
        <f t="shared" si="8"/>
        <v>2650291.3751570741</v>
      </c>
      <c r="M12" s="29">
        <f>IF(L12="",NA(),L12/K12)</f>
        <v>3.4645096407487037E-2</v>
      </c>
      <c r="N12" s="29">
        <f t="shared" si="10"/>
        <v>1.6234925553713357E-2</v>
      </c>
      <c r="O12" s="29">
        <f t="shared" si="5"/>
        <v>1.6854685823238649E-2</v>
      </c>
      <c r="P12" s="29">
        <f t="shared" si="6"/>
        <v>1.841017085377368E-2</v>
      </c>
      <c r="Q12" s="47">
        <f t="shared" ca="1" si="3"/>
        <v>1.6457032606211633E-2</v>
      </c>
      <c r="R12" s="47">
        <f t="shared" ca="1" si="7"/>
        <v>1.9531382475620473E-3</v>
      </c>
    </row>
    <row r="13" spans="1:18">
      <c r="A13" s="41" t="s">
        <v>17</v>
      </c>
      <c r="B13" s="1">
        <v>25</v>
      </c>
      <c r="C13" s="51">
        <v>2035931</v>
      </c>
      <c r="D13" s="51">
        <v>2021156.4</v>
      </c>
      <c r="E13" s="51">
        <v>137708.45205479453</v>
      </c>
      <c r="F13" s="51">
        <v>-2709.8489435751544</v>
      </c>
      <c r="G13" s="43">
        <f t="shared" si="0"/>
        <v>11466310</v>
      </c>
      <c r="H13" s="43">
        <f t="shared" si="0"/>
        <v>12520344.979899621</v>
      </c>
      <c r="I13" s="43">
        <f t="shared" si="1"/>
        <v>1213909.284931507</v>
      </c>
      <c r="J13" s="43">
        <f t="shared" si="2"/>
        <v>29880.978696537026</v>
      </c>
      <c r="K13" s="43">
        <f t="shared" si="4"/>
        <v>64151075.1631753</v>
      </c>
      <c r="L13" s="43">
        <f t="shared" si="8"/>
        <v>2255609.4921134929</v>
      </c>
      <c r="M13" s="29">
        <f t="shared" si="9"/>
        <v>3.5160899273723824E-2</v>
      </c>
      <c r="N13" s="29">
        <f t="shared" si="10"/>
        <v>1.5964720756402533E-2</v>
      </c>
      <c r="O13" s="29">
        <f t="shared" si="5"/>
        <v>1.8922664691804394E-2</v>
      </c>
      <c r="P13" s="29">
        <f t="shared" si="6"/>
        <v>1.9196178517321291E-2</v>
      </c>
      <c r="Q13" s="47">
        <f t="shared" ca="1" si="3"/>
        <v>1.8776230364251651E-2</v>
      </c>
      <c r="R13" s="47">
        <f t="shared" ca="1" si="7"/>
        <v>4.1994815306964015E-4</v>
      </c>
    </row>
    <row r="14" spans="1:18">
      <c r="A14" s="41" t="s">
        <v>18</v>
      </c>
      <c r="B14" s="1">
        <v>30</v>
      </c>
      <c r="C14" s="51">
        <v>1746535</v>
      </c>
      <c r="D14" s="51">
        <v>1850429.3</v>
      </c>
      <c r="E14" s="51">
        <v>152191.89041095891</v>
      </c>
      <c r="F14" s="51">
        <v>5823.3243243759562</v>
      </c>
      <c r="G14" s="43">
        <f t="shared" si="0"/>
        <v>9430379</v>
      </c>
      <c r="H14" s="43">
        <f t="shared" si="0"/>
        <v>10499188.57989962</v>
      </c>
      <c r="I14" s="43">
        <f t="shared" si="1"/>
        <v>1076200.8328767125</v>
      </c>
      <c r="J14" s="43">
        <f t="shared" si="2"/>
        <v>32590.82764011218</v>
      </c>
      <c r="K14" s="43">
        <f t="shared" si="4"/>
        <v>53275360.107608035</v>
      </c>
      <c r="L14" s="43">
        <f t="shared" si="8"/>
        <v>2078412.3951735925</v>
      </c>
      <c r="M14" s="29">
        <f t="shared" si="9"/>
        <v>3.9012639069459482E-2</v>
      </c>
      <c r="N14" s="29">
        <f t="shared" si="10"/>
        <v>1.9450243980829143E-2</v>
      </c>
      <c r="O14" s="29">
        <f t="shared" si="5"/>
        <v>2.0200723762410097E-2</v>
      </c>
      <c r="P14" s="29">
        <f t="shared" si="6"/>
        <v>1.9562395088630339E-2</v>
      </c>
      <c r="Q14" s="47">
        <f t="shared" ca="1" si="3"/>
        <v>2.0209548555383459E-2</v>
      </c>
      <c r="R14" s="47">
        <f t="shared" ca="1" si="7"/>
        <v>-6.471534667531198E-4</v>
      </c>
    </row>
    <row r="15" spans="1:18">
      <c r="A15" s="41" t="s">
        <v>19</v>
      </c>
      <c r="B15" s="1">
        <v>35</v>
      </c>
      <c r="C15" s="51">
        <v>1630368</v>
      </c>
      <c r="D15" s="51">
        <v>1664349.2</v>
      </c>
      <c r="E15" s="51">
        <v>126082.76438356165</v>
      </c>
      <c r="F15" s="51">
        <v>3023.4822918235664</v>
      </c>
      <c r="G15" s="43">
        <f t="shared" si="0"/>
        <v>7683844</v>
      </c>
      <c r="H15" s="43">
        <f t="shared" si="0"/>
        <v>8648759.2798996195</v>
      </c>
      <c r="I15" s="43">
        <f t="shared" si="1"/>
        <v>924008.94246575353</v>
      </c>
      <c r="J15" s="43">
        <f t="shared" si="2"/>
        <v>26767.503315736223</v>
      </c>
      <c r="K15" s="43">
        <f t="shared" si="4"/>
        <v>43646570.662553012</v>
      </c>
      <c r="L15" s="43">
        <f t="shared" si="8"/>
        <v>1825680.6824686925</v>
      </c>
      <c r="M15" s="29">
        <f t="shared" si="9"/>
        <v>4.1828731438803564E-2</v>
      </c>
      <c r="N15" s="29">
        <f t="shared" si="10"/>
        <v>2.149419215170497E-2</v>
      </c>
      <c r="O15" s="29">
        <f t="shared" si="5"/>
        <v>2.1170252976106453E-2</v>
      </c>
      <c r="P15" s="29">
        <f>IF(E15&gt;0,M15-N15,NA())</f>
        <v>2.0334539287098594E-2</v>
      </c>
      <c r="Q15" s="47">
        <f t="shared" ca="1" si="3"/>
        <v>2.1296856560768625E-2</v>
      </c>
      <c r="R15" s="47">
        <f t="shared" ca="1" si="7"/>
        <v>-9.6231727367003181E-4</v>
      </c>
    </row>
    <row r="16" spans="1:18">
      <c r="A16" s="41" t="s">
        <v>20</v>
      </c>
      <c r="B16" s="1">
        <v>40</v>
      </c>
      <c r="C16" s="51">
        <v>1385983</v>
      </c>
      <c r="D16" s="51">
        <v>1520926.4</v>
      </c>
      <c r="E16" s="51">
        <v>103207.80547945204</v>
      </c>
      <c r="F16" s="51">
        <v>-407.13102646822244</v>
      </c>
      <c r="G16" s="43">
        <f t="shared" si="0"/>
        <v>6053476</v>
      </c>
      <c r="H16" s="43">
        <f t="shared" si="0"/>
        <v>6984410.0798996203</v>
      </c>
      <c r="I16" s="43">
        <f t="shared" si="1"/>
        <v>797926.17808219185</v>
      </c>
      <c r="J16" s="43">
        <f t="shared" si="2"/>
        <v>23744.021023912657</v>
      </c>
      <c r="K16" s="43">
        <f t="shared" si="4"/>
        <v>34813783.960124388</v>
      </c>
      <c r="L16" s="43">
        <f t="shared" si="8"/>
        <v>1686206.9245384373</v>
      </c>
      <c r="M16" s="29">
        <f t="shared" si="9"/>
        <v>4.8435037296428736E-2</v>
      </c>
      <c r="N16" s="29">
        <f t="shared" si="10"/>
        <v>2.6058358376521224E-2</v>
      </c>
      <c r="O16" s="29">
        <f t="shared" si="5"/>
        <v>2.2919834827381427E-2</v>
      </c>
      <c r="P16" s="29">
        <f>IF(E16&gt;0,M16-N16,NA())</f>
        <v>2.2376678919907512E-2</v>
      </c>
      <c r="Q16" s="47">
        <f t="shared" ca="1" si="3"/>
        <v>2.325897830614149E-2</v>
      </c>
      <c r="R16" s="47">
        <f ca="1">P16-Q16</f>
        <v>-8.8229938623397841E-4</v>
      </c>
    </row>
    <row r="17" spans="1:19">
      <c r="A17" s="41" t="s">
        <v>21</v>
      </c>
      <c r="B17" s="1">
        <v>45</v>
      </c>
      <c r="C17" s="51">
        <v>1119920</v>
      </c>
      <c r="D17" s="51">
        <v>1294503.5</v>
      </c>
      <c r="E17" s="51">
        <v>83290.271232876708</v>
      </c>
      <c r="F17" s="51">
        <v>1671.1991916635457</v>
      </c>
      <c r="G17" s="43">
        <f t="shared" si="0"/>
        <v>4667493</v>
      </c>
      <c r="H17" s="43">
        <f t="shared" si="0"/>
        <v>5463483.6798996199</v>
      </c>
      <c r="I17" s="43">
        <f t="shared" si="1"/>
        <v>694718.37260273984</v>
      </c>
      <c r="J17" s="43">
        <f t="shared" si="2"/>
        <v>24151.152050380879</v>
      </c>
      <c r="K17" s="43">
        <f t="shared" si="4"/>
        <v>27037131.603140391</v>
      </c>
      <c r="L17" s="43">
        <f t="shared" si="8"/>
        <v>1434314.9136299477</v>
      </c>
      <c r="M17" s="29">
        <f t="shared" si="9"/>
        <v>5.3049818105088874E-2</v>
      </c>
      <c r="N17" s="29">
        <f t="shared" si="10"/>
        <v>2.8547389537416354E-2</v>
      </c>
      <c r="O17" s="29">
        <f t="shared" si="5"/>
        <v>2.5694973224232396E-2</v>
      </c>
      <c r="P17" s="29">
        <f>IF(E17&gt;0,M17-N17,NA())</f>
        <v>2.450242856767252E-2</v>
      </c>
      <c r="Q17" s="47">
        <f t="shared" ca="1" si="3"/>
        <v>2.6371241611177734E-2</v>
      </c>
      <c r="R17" s="47">
        <f ca="1">P17-Q17</f>
        <v>-1.8688130435052137E-3</v>
      </c>
    </row>
    <row r="18" spans="1:19">
      <c r="A18" s="41" t="s">
        <v>22</v>
      </c>
      <c r="B18" s="1">
        <v>50</v>
      </c>
      <c r="C18" s="51">
        <v>868636</v>
      </c>
      <c r="D18" s="51">
        <v>1074540.7</v>
      </c>
      <c r="E18" s="51">
        <v>72933.208219178079</v>
      </c>
      <c r="F18" s="51">
        <v>3117.7360718706113</v>
      </c>
      <c r="G18" s="43">
        <f t="shared" si="0"/>
        <v>3547573</v>
      </c>
      <c r="H18" s="43">
        <f t="shared" si="0"/>
        <v>4168980.1798996199</v>
      </c>
      <c r="I18" s="43">
        <f t="shared" si="1"/>
        <v>611428.10136986314</v>
      </c>
      <c r="J18" s="43">
        <f t="shared" si="2"/>
        <v>22479.952858717334</v>
      </c>
      <c r="K18" s="43">
        <f t="shared" si="4"/>
        <v>20590388.35487463</v>
      </c>
      <c r="L18" s="43">
        <f t="shared" si="8"/>
        <v>1174678.1296633277</v>
      </c>
      <c r="M18" s="29">
        <f t="shared" si="9"/>
        <v>5.7049828755912267E-2</v>
      </c>
      <c r="N18" s="29">
        <f t="shared" si="10"/>
        <v>2.9087709115457785E-2</v>
      </c>
      <c r="O18" s="29">
        <f t="shared" si="5"/>
        <v>2.9694830948883578E-2</v>
      </c>
      <c r="P18" s="29">
        <f>IF(E18&gt;0,M18-N18,NA())</f>
        <v>2.7962119640454482E-2</v>
      </c>
      <c r="Q18" s="47">
        <f t="shared" ca="1" si="3"/>
        <v>3.0857003631523619E-2</v>
      </c>
      <c r="R18" s="47">
        <f ca="1">P18-Q18</f>
        <v>-2.8948839910691374E-3</v>
      </c>
    </row>
    <row r="19" spans="1:19">
      <c r="A19" s="41" t="s">
        <v>23</v>
      </c>
      <c r="B19" s="1">
        <v>55</v>
      </c>
      <c r="C19" s="51">
        <v>653030</v>
      </c>
      <c r="D19" s="51">
        <v>849485.89391343389</v>
      </c>
      <c r="E19" s="51">
        <v>64317.679452054792</v>
      </c>
      <c r="F19" s="51">
        <v>4658.6100263039698</v>
      </c>
      <c r="G19" s="43">
        <f t="shared" si="0"/>
        <v>2678937</v>
      </c>
      <c r="H19" s="43">
        <f t="shared" si="0"/>
        <v>3094439.4798996197</v>
      </c>
      <c r="I19" s="43">
        <f t="shared" si="1"/>
        <v>538494.89315068501</v>
      </c>
      <c r="J19" s="43">
        <f t="shared" si="2"/>
        <v>19362.216786846722</v>
      </c>
      <c r="K19" s="43">
        <f t="shared" si="4"/>
        <v>15415449.723936496</v>
      </c>
      <c r="L19" s="43">
        <f t="shared" si="8"/>
        <v>919837.15052124986</v>
      </c>
      <c r="M19" s="29">
        <f t="shared" si="9"/>
        <v>5.9669822612632789E-2</v>
      </c>
      <c r="N19" s="29">
        <f t="shared" si="10"/>
        <v>2.5697613122351023E-2</v>
      </c>
      <c r="O19" s="29">
        <f t="shared" si="5"/>
        <v>3.4932155908142699E-2</v>
      </c>
      <c r="P19" s="29">
        <f>IF(E19&gt;0,M19-N19,NA())</f>
        <v>3.3972209490281763E-2</v>
      </c>
      <c r="Q19" s="47">
        <f t="shared" ca="1" si="3"/>
        <v>3.6730560894739257E-2</v>
      </c>
      <c r="R19" s="47">
        <f ca="1">P19-Q19</f>
        <v>-2.7583514044574944E-3</v>
      </c>
    </row>
    <row r="20" spans="1:19">
      <c r="A20" s="41" t="s">
        <v>24</v>
      </c>
      <c r="B20" s="1">
        <v>60</v>
      </c>
      <c r="C20" s="51">
        <v>620861</v>
      </c>
      <c r="D20" s="51">
        <v>647158.57880766876</v>
      </c>
      <c r="E20" s="51">
        <v>70332.495890410966</v>
      </c>
      <c r="F20" s="51">
        <v>3093.8455808881095</v>
      </c>
      <c r="G20" s="43">
        <f t="shared" si="0"/>
        <v>2025907</v>
      </c>
      <c r="H20" s="43">
        <f t="shared" si="0"/>
        <v>2244953.5859861858</v>
      </c>
      <c r="I20" s="43">
        <f>I21+E20</f>
        <v>474177.21369863016</v>
      </c>
      <c r="J20" s="43">
        <f>J21+F20</f>
        <v>14703.606760542751</v>
      </c>
      <c r="K20" s="43">
        <f t="shared" si="4"/>
        <v>11418193.22258373</v>
      </c>
      <c r="L20" s="43">
        <f t="shared" si="8"/>
        <v>696122.81987391179</v>
      </c>
      <c r="M20" s="29">
        <f t="shared" si="9"/>
        <v>6.0966109637825158E-2</v>
      </c>
      <c r="N20" s="29">
        <f t="shared" si="10"/>
        <v>1.789626215305927E-2</v>
      </c>
      <c r="O20" s="29">
        <f t="shared" si="5"/>
        <v>4.1528217683404423E-2</v>
      </c>
      <c r="P20" s="29">
        <f>IF(L$3&gt;59,M20-N20,NA())</f>
        <v>4.3069847484765889E-2</v>
      </c>
      <c r="Q20" s="47">
        <f t="shared" ca="1" si="3"/>
        <v>4.4127914858849218E-2</v>
      </c>
      <c r="R20" s="47">
        <f ca="1">IF(L$3&gt;60,P20-Q20,NA())</f>
        <v>-1.0580673740833296E-3</v>
      </c>
    </row>
    <row r="21" spans="1:19">
      <c r="A21" s="44" t="str">
        <f>IF(E21="","", IF(E22="","65+", "   65-69"))</f>
        <v xml:space="preserve">   65-69</v>
      </c>
      <c r="B21" s="1">
        <f>IF(E22="","",65)</f>
        <v>65</v>
      </c>
      <c r="C21" s="51">
        <v>483263</v>
      </c>
      <c r="D21" s="51">
        <v>553050.20290078165</v>
      </c>
      <c r="E21" s="51">
        <v>76772.780821917797</v>
      </c>
      <c r="F21" s="51">
        <v>4356.809071938259</v>
      </c>
      <c r="G21" s="43">
        <f>IF(E21="",,G22+C21)</f>
        <v>1405046</v>
      </c>
      <c r="H21" s="43">
        <f>IF(E21="",,H22+D21)</f>
        <v>1597795.0071785171</v>
      </c>
      <c r="I21" s="43">
        <f>IF(E21="",,I22+E21)</f>
        <v>403844.7178082192</v>
      </c>
      <c r="J21" s="43">
        <f>IF(325="",,J22+F21)</f>
        <v>11609.761179654641</v>
      </c>
      <c r="K21" s="43">
        <f t="shared" si="4"/>
        <v>8022131.0724210981</v>
      </c>
      <c r="L21" s="43">
        <f>IF(E22="","",G$3*(C20*D21)^0.5/5)</f>
        <v>627470.64926410513</v>
      </c>
      <c r="M21" s="29">
        <f>IF(L21="",NA(),L21/K21)</f>
        <v>7.8217451647138572E-2</v>
      </c>
      <c r="N21" s="29">
        <f t="shared" si="10"/>
        <v>2.2579940961273047E-2</v>
      </c>
      <c r="O21" s="29">
        <f t="shared" si="5"/>
        <v>5.0341326283807268E-2</v>
      </c>
      <c r="P21" s="29">
        <f>IF(L$3&gt;B21-1,M21-N21,NA())</f>
        <v>5.5637510685865525E-2</v>
      </c>
      <c r="Q21" s="47">
        <f t="shared" ca="1" si="3"/>
        <v>5.4011643371797362E-2</v>
      </c>
      <c r="R21" s="47">
        <f ca="1">IF(L$3&gt;65,P21-Q21,NA())</f>
        <v>1.6258673140681634E-3</v>
      </c>
    </row>
    <row r="22" spans="1:19">
      <c r="A22" s="44" t="str">
        <f>IF(E22="","", IF(E23="","70+", "   70-74"))</f>
        <v xml:space="preserve">   70-74</v>
      </c>
      <c r="B22" s="1">
        <f>IF(E23="","",70)</f>
        <v>70</v>
      </c>
      <c r="C22" s="51">
        <v>399032</v>
      </c>
      <c r="D22" s="51">
        <v>413776.35931542347</v>
      </c>
      <c r="E22" s="51">
        <v>83286.410958904104</v>
      </c>
      <c r="F22" s="51">
        <v>3383.877548394757</v>
      </c>
      <c r="G22" s="43">
        <f>IF(E22="",,G23+C22)</f>
        <v>921783</v>
      </c>
      <c r="H22" s="43">
        <f>IF(E22="",,H23+D22)</f>
        <v>1044744.8042777355</v>
      </c>
      <c r="I22" s="43">
        <f>IF(E22="",,I23+E22)</f>
        <v>327071.93698630139</v>
      </c>
      <c r="J22" s="43">
        <f>IF(325="",,J23+F22)</f>
        <v>7252.9521077163809</v>
      </c>
      <c r="K22" s="43">
        <f t="shared" si="4"/>
        <v>5254161.3989086812</v>
      </c>
      <c r="L22" s="43">
        <f>IF(E23="","",G$3*(C21*D22)^0.5/5)</f>
        <v>478837.94439549127</v>
      </c>
      <c r="M22" s="29">
        <f>IF(L22="",NA(),L22/K22)</f>
        <v>9.113498959033664E-2</v>
      </c>
      <c r="N22" s="29">
        <f t="shared" si="10"/>
        <v>2.2022325426480527E-2</v>
      </c>
      <c r="O22" s="29">
        <f t="shared" si="5"/>
        <v>6.2250074208652223E-2</v>
      </c>
      <c r="P22" s="29">
        <f>IF(L$3&gt;B22-1,M22-N22,NA())</f>
        <v>6.9112664163856113E-2</v>
      </c>
      <c r="Q22" s="47">
        <f t="shared" ca="1" si="3"/>
        <v>6.7367070696603262E-2</v>
      </c>
      <c r="R22" s="47">
        <f ca="1">IF(L$3&gt;70,P22-Q22,NA())</f>
        <v>1.7455934672528511E-3</v>
      </c>
    </row>
    <row r="23" spans="1:19">
      <c r="A23" s="44" t="str">
        <f>IF(E23="","", IF(E24="","75+", "   75-79"))</f>
        <v xml:space="preserve">   75-79</v>
      </c>
      <c r="B23" s="1">
        <f>IF(E24="","",75)</f>
        <v>75</v>
      </c>
      <c r="C23" s="51">
        <v>231155</v>
      </c>
      <c r="D23" s="51">
        <v>304906.3815560232</v>
      </c>
      <c r="E23" s="51">
        <v>78748.005479452055</v>
      </c>
      <c r="F23" s="51">
        <v>1660.3422397317063</v>
      </c>
      <c r="G23" s="43">
        <f>IF(E23="",,G24+C23)</f>
        <v>522751</v>
      </c>
      <c r="H23" s="43">
        <f>IF(E23="",,H24+D23)</f>
        <v>630968.444962312</v>
      </c>
      <c r="I23" s="43">
        <f>IF(E23="",,I24+E23)</f>
        <v>243785.52602739728</v>
      </c>
      <c r="J23" s="43">
        <f>IF(325="",,J24+F23)</f>
        <v>3869.0745593216234</v>
      </c>
      <c r="K23" s="43">
        <f t="shared" si="4"/>
        <v>3074929.8232242903</v>
      </c>
      <c r="L23" s="43">
        <f>IF(E24="","",G$3*(C22*D23)^0.5/5)</f>
        <v>373508.99695543654</v>
      </c>
      <c r="M23" s="29">
        <f>IF(L23="",NA(),L23/K23)</f>
        <v>0.12146911260686426</v>
      </c>
      <c r="N23" s="29">
        <f t="shared" si="10"/>
        <v>3.3935203858920404E-2</v>
      </c>
      <c r="O23" s="29">
        <f t="shared" si="5"/>
        <v>7.928165520596181E-2</v>
      </c>
      <c r="P23" s="29">
        <f>IF(L$3&gt;B23-1,M23-N23,NA())</f>
        <v>8.7533908747943853E-2</v>
      </c>
      <c r="Q23" s="47">
        <f t="shared" ca="1" si="3"/>
        <v>8.6467654878216532E-2</v>
      </c>
      <c r="R23" s="47">
        <f ca="1">IF(L$3&gt;75,P23-Q23,NA())</f>
        <v>1.0662538697273211E-3</v>
      </c>
    </row>
    <row r="24" spans="1:19">
      <c r="A24" s="44" t="str">
        <f>IF(E24="","", IF(E25="","80+", "   80-84"))</f>
        <v xml:space="preserve">   80-84</v>
      </c>
      <c r="B24" s="1">
        <f>IF(E25="","",80)</f>
        <v>80</v>
      </c>
      <c r="C24" s="51">
        <v>180151</v>
      </c>
      <c r="D24" s="51">
        <v>169637.17457712468</v>
      </c>
      <c r="E24" s="51">
        <v>68734.131506849313</v>
      </c>
      <c r="F24" s="51">
        <v>401.33458010101998</v>
      </c>
      <c r="G24" s="43">
        <f>IF(E24="",,G25+C24)</f>
        <v>291596</v>
      </c>
      <c r="H24" s="43">
        <f>IF(E24="",,H25+D24)</f>
        <v>326062.06340628874</v>
      </c>
      <c r="I24" s="43">
        <f>IF(E24="",,I25+E24)</f>
        <v>165037.52054794523</v>
      </c>
      <c r="J24" s="43">
        <f>IF(325="",,J25+F24)</f>
        <v>2208.7323195899171</v>
      </c>
      <c r="K24" s="43">
        <f t="shared" si="4"/>
        <v>1650915.5935672682</v>
      </c>
      <c r="L24" s="43">
        <f>IF(E25="","",G$3*(C23*D24)^0.5/5)</f>
        <v>212044.05902366751</v>
      </c>
      <c r="M24" s="29">
        <f>IF(L24="",NA(),L24/K24)</f>
        <v>0.12844027874586039</v>
      </c>
      <c r="N24" s="29">
        <f t="shared" si="10"/>
        <v>1.9539055305061219E-2</v>
      </c>
      <c r="O24" s="29">
        <f>IF(L24="",NA(),I24/K24)</f>
        <v>9.9967267370305202E-2</v>
      </c>
      <c r="P24" s="29">
        <f>IF(L$3&gt;B24-1,M24-N24,NA())</f>
        <v>0.10890122344079917</v>
      </c>
      <c r="Q24" s="47">
        <f t="shared" ca="1" si="3"/>
        <v>0.10966616337579277</v>
      </c>
      <c r="R24" s="47">
        <f ca="1">IF(L$3&gt;80,P24-Q24,NA())</f>
        <v>-7.6493993499360258E-4</v>
      </c>
    </row>
    <row r="25" spans="1:19">
      <c r="A25" s="44" t="str">
        <f>IF(E25="","","85+")</f>
        <v>85+</v>
      </c>
      <c r="C25" s="51">
        <v>111445</v>
      </c>
      <c r="D25" s="51">
        <v>156424.88882916409</v>
      </c>
      <c r="E25" s="51">
        <v>96303.389041095899</v>
      </c>
      <c r="F25" s="51">
        <v>1807.3977394888971</v>
      </c>
      <c r="G25" s="43">
        <f>IF(E25="",,G26+C25)</f>
        <v>111445</v>
      </c>
      <c r="H25" s="43">
        <f>IF(E25="",,H26+D25)</f>
        <v>156424.88882916409</v>
      </c>
      <c r="I25" s="43">
        <f>IF(E25="",,I26+E25)</f>
        <v>96303.389041095899</v>
      </c>
      <c r="J25" s="43">
        <f>IF(325="",,J26+F25)</f>
        <v>1807.3977394888971</v>
      </c>
      <c r="K25" s="43">
        <f t="shared" si="4"/>
        <v>706914.96256133681</v>
      </c>
      <c r="L25" s="43"/>
      <c r="M25" s="36"/>
      <c r="N25" s="29"/>
    </row>
    <row r="26" spans="1:19">
      <c r="A26" s="41"/>
      <c r="C26" s="42"/>
      <c r="D26" s="42"/>
      <c r="E26" s="42"/>
      <c r="F26" s="42"/>
    </row>
    <row r="27" spans="1:19">
      <c r="A27" s="44" t="s">
        <v>25</v>
      </c>
      <c r="C27" s="42">
        <f>SUM(C8:C25)</f>
        <v>23385731</v>
      </c>
      <c r="D27" s="42">
        <f>SUM(D8:D25)</f>
        <v>25003493.479899619</v>
      </c>
      <c r="E27" s="42">
        <f>SUM(E8:E25)</f>
        <v>1508748.2493150684</v>
      </c>
      <c r="F27" s="42">
        <f>SUM(F8:F25)</f>
        <v>67410.772578966775</v>
      </c>
      <c r="G27" s="36"/>
      <c r="H27" s="36"/>
      <c r="I27" s="36"/>
      <c r="J27" s="36"/>
      <c r="K27" s="36"/>
      <c r="L27" s="29"/>
      <c r="M27" s="36"/>
      <c r="N27" s="36"/>
      <c r="P27" s="1" t="s">
        <v>30</v>
      </c>
      <c r="Q27" s="1">
        <f ca="1">AVERAGE(INDIRECT(ADDRESS(ROW(P8)+L2/5,P7)):INDIRECT(ADDRESS(ROW(P8)+L3/5,P7)))-AVERAGE(INDIRECT(ADDRESS(ROW(O8)+L2/5,O7)):INDIRECT(ADDRESS(ROW(O8)+L3/5,O7)))*Q32</f>
        <v>-2.4451671057392627E-3</v>
      </c>
    </row>
    <row r="28" spans="1:19">
      <c r="L28" s="29"/>
      <c r="P28" s="1" t="s">
        <v>26</v>
      </c>
      <c r="Q28" s="1">
        <f ca="1">EXP(G3*Q27)</f>
        <v>0.9869937291116837</v>
      </c>
      <c r="R28" s="45"/>
    </row>
    <row r="29" spans="1:19">
      <c r="E29" s="36"/>
      <c r="F29" s="36"/>
      <c r="L29" s="29"/>
      <c r="P29" s="1" t="s">
        <v>27</v>
      </c>
      <c r="Q29" s="1">
        <f ca="1">IF(Q28&gt;1,1,Q28)</f>
        <v>0.9869937291116837</v>
      </c>
      <c r="S29" s="46"/>
    </row>
    <row r="30" spans="1:19">
      <c r="C30" s="36"/>
      <c r="D30" s="36"/>
      <c r="E30" s="36"/>
      <c r="F30" s="36"/>
      <c r="L30" s="29"/>
      <c r="P30" s="1" t="s">
        <v>28</v>
      </c>
      <c r="Q30" s="1">
        <f ca="1">Q29/Q28</f>
        <v>1</v>
      </c>
      <c r="S30" s="46"/>
    </row>
    <row r="31" spans="1:19">
      <c r="C31" s="29"/>
      <c r="E31" s="29"/>
      <c r="L31" s="29"/>
      <c r="P31" s="1" t="s">
        <v>29</v>
      </c>
      <c r="Q31" s="1">
        <f ca="1">Q29*Q30</f>
        <v>0.9869937291116837</v>
      </c>
    </row>
    <row r="32" spans="1:19">
      <c r="C32" s="29"/>
      <c r="E32" s="29"/>
      <c r="L32" s="29"/>
      <c r="M32" s="29"/>
      <c r="O32" s="29"/>
      <c r="P32" s="1" t="s">
        <v>31</v>
      </c>
      <c r="Q32" s="1">
        <f ca="1">STDEV(INDIRECT(ADDRESS(ROW(P8)+L2/5,P7)):INDIRECT(ADDRESS(ROW(P8)+L3/5,P7)))/STDEV(INDIRECT(ADDRESS(ROW(O8)+L2/5,O7)):INDIRECT(ADDRESS(ROW(O8)+L3/5,O7)))</f>
        <v>1.1214803948400631</v>
      </c>
    </row>
    <row r="33" spans="2:18">
      <c r="C33" s="29"/>
      <c r="E33" s="29"/>
      <c r="L33" s="29"/>
      <c r="M33" s="29"/>
      <c r="O33" s="29"/>
      <c r="P33" s="52" t="s">
        <v>79</v>
      </c>
      <c r="Q33" s="53">
        <f ca="1">SQRT(Q31)/Q32</f>
        <v>0.88586085419069749</v>
      </c>
    </row>
    <row r="34" spans="2:18">
      <c r="B34" s="29"/>
      <c r="C34" s="29"/>
      <c r="D34" s="29"/>
      <c r="E34" s="29"/>
      <c r="L34" s="29"/>
    </row>
    <row r="35" spans="2:18">
      <c r="L35" s="29"/>
      <c r="Q35" s="2"/>
    </row>
    <row r="36" spans="2:18">
      <c r="L36" s="29"/>
    </row>
    <row r="37" spans="2:18">
      <c r="L37" s="29"/>
      <c r="Q37" s="88"/>
    </row>
    <row r="38" spans="2:18">
      <c r="L38" s="29"/>
      <c r="Q38" s="88"/>
    </row>
    <row r="39" spans="2:18">
      <c r="L39" s="29"/>
      <c r="Q39" s="29"/>
      <c r="R39" s="29"/>
    </row>
    <row r="40" spans="2:18">
      <c r="L40" s="29"/>
    </row>
    <row r="41" spans="2:18">
      <c r="L41" s="29"/>
    </row>
    <row r="42" spans="2:18">
      <c r="L42" s="29"/>
    </row>
    <row r="43" spans="2:18">
      <c r="L43" s="29"/>
    </row>
    <row r="44" spans="2:18">
      <c r="L44" s="29"/>
    </row>
    <row r="45" spans="2:18">
      <c r="L45" s="29"/>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I1" sqref="I1"/>
    </sheetView>
  </sheetViews>
  <sheetFormatPr defaultColWidth="9.140625" defaultRowHeight="12.75"/>
  <cols>
    <col min="1" max="1" width="9.28515625" style="28" bestFit="1" customWidth="1"/>
    <col min="2" max="3" width="11.85546875" style="28" customWidth="1"/>
    <col min="4" max="4" width="11.28515625" style="28" customWidth="1"/>
    <col min="5" max="5" width="11.42578125" style="28" customWidth="1"/>
    <col min="6" max="6" width="9.28515625" style="28" bestFit="1" customWidth="1"/>
    <col min="7" max="7" width="6.7109375" style="28" customWidth="1"/>
    <col min="8" max="9" width="9.28515625" style="28" bestFit="1" customWidth="1"/>
    <col min="10" max="10" width="9.7109375" style="28" bestFit="1" customWidth="1"/>
    <col min="11" max="11" width="9.85546875" style="28" customWidth="1"/>
    <col min="12" max="12" width="9.7109375" style="28" bestFit="1" customWidth="1"/>
    <col min="13" max="13" width="9.140625" style="28" customWidth="1"/>
    <col min="14" max="14" width="9.7109375" style="28" bestFit="1" customWidth="1"/>
    <col min="15" max="15" width="10.140625" style="28" customWidth="1"/>
    <col min="16" max="16" width="9.28515625" style="28" bestFit="1" customWidth="1"/>
    <col min="17" max="17" width="10.28515625" style="28" customWidth="1"/>
    <col min="18" max="18" width="5.85546875" style="28" customWidth="1"/>
    <col min="19" max="16384" width="9.140625" style="28"/>
  </cols>
  <sheetData>
    <row r="1" spans="1:31">
      <c r="A1" s="3" t="s">
        <v>80</v>
      </c>
      <c r="B1" s="3" t="str">
        <f>Introduction!D9</f>
        <v>Afrique du sud</v>
      </c>
      <c r="C1" s="3"/>
      <c r="D1" s="3"/>
      <c r="E1" s="3"/>
      <c r="F1" s="3"/>
      <c r="G1" s="3"/>
      <c r="H1" s="3"/>
      <c r="I1" s="3"/>
      <c r="J1" s="56"/>
      <c r="K1" s="3"/>
      <c r="L1" s="3"/>
      <c r="M1" s="3"/>
      <c r="N1" s="3"/>
      <c r="O1" s="57" t="s">
        <v>86</v>
      </c>
      <c r="P1" s="58"/>
      <c r="Q1" s="58"/>
      <c r="R1" s="3"/>
    </row>
    <row r="2" spans="1:31">
      <c r="A2" s="3"/>
      <c r="B2" s="3"/>
      <c r="C2" s="3"/>
      <c r="D2" s="3"/>
      <c r="E2" s="3"/>
      <c r="F2" s="3"/>
      <c r="G2" s="3"/>
      <c r="H2" s="3"/>
      <c r="I2" s="3"/>
      <c r="J2" s="56"/>
      <c r="K2" s="111" t="s">
        <v>91</v>
      </c>
      <c r="L2" s="59">
        <v>45</v>
      </c>
      <c r="M2" s="60" t="s">
        <v>2</v>
      </c>
      <c r="N2" s="61">
        <f ca="1">INTERCEPT(INDIRECT(ADDRESS(ROW(J7)+L2/5,J6)):INDIRECT(ADDRESS(ROW(J7)+L3/5,J6)),INDIRECT(ADDRESS(ROW(L7)+L2/5,L6)):INDIRECT(ADDRESS(ROW(L7)+L3/5,L6)))</f>
        <v>0.20595650374531146</v>
      </c>
      <c r="O2" s="58" t="s">
        <v>3</v>
      </c>
      <c r="P2" s="62">
        <f ca="1">1-N19/N10</f>
        <v>0.42194826373733829</v>
      </c>
      <c r="Q2" s="62"/>
      <c r="R2" s="3"/>
    </row>
    <row r="3" spans="1:31">
      <c r="A3" s="3" t="s">
        <v>60</v>
      </c>
      <c r="B3" s="3" t="str">
        <f>Introduction!D10</f>
        <v>Femme</v>
      </c>
      <c r="C3" s="3"/>
      <c r="D3" s="3"/>
      <c r="E3" s="3"/>
      <c r="F3" s="3"/>
      <c r="G3" s="3"/>
      <c r="H3" s="3"/>
      <c r="I3" s="3"/>
      <c r="J3" s="56"/>
      <c r="K3" s="111" t="s">
        <v>92</v>
      </c>
      <c r="L3" s="59">
        <v>85</v>
      </c>
      <c r="M3" s="60" t="s">
        <v>10</v>
      </c>
      <c r="N3" s="61">
        <f ca="1">SLOPE(INDIRECT(ADDRESS(ROW(J7)+L2/5,J6)):INDIRECT(ADDRESS(ROW(J7)+L3/5,J6)),INDIRECT(ADDRESS(ROW(L7)+L2/5,L6)):INDIRECT(ADDRESS(ROW(L7)+L3/5,L6)))</f>
        <v>0.99385008779480311</v>
      </c>
      <c r="O3" s="58" t="s">
        <v>11</v>
      </c>
      <c r="P3" s="62">
        <f ca="1">1-N17/N10</f>
        <v>0.34443711507015262</v>
      </c>
      <c r="Q3" s="62"/>
      <c r="R3" s="3"/>
    </row>
    <row r="4" spans="1:31">
      <c r="A4" s="3"/>
      <c r="B4" s="3"/>
      <c r="C4" s="3"/>
      <c r="D4" s="3"/>
      <c r="E4" s="3"/>
      <c r="F4" s="3"/>
      <c r="G4" s="3"/>
      <c r="H4" s="3"/>
      <c r="I4" s="3"/>
      <c r="J4" s="56"/>
      <c r="K4" s="3"/>
      <c r="L4" s="3"/>
      <c r="M4" s="3"/>
      <c r="N4" s="3"/>
      <c r="O4" s="3"/>
      <c r="P4" s="3"/>
      <c r="Q4" s="3"/>
      <c r="R4" s="3"/>
    </row>
    <row r="5" spans="1:31" ht="42.75" customHeight="1">
      <c r="A5" s="63" t="s">
        <v>1</v>
      </c>
      <c r="B5" s="64" t="s">
        <v>83</v>
      </c>
      <c r="C5" s="64" t="s">
        <v>84</v>
      </c>
      <c r="D5" s="110" t="s">
        <v>85</v>
      </c>
      <c r="E5" s="65" t="s">
        <v>81</v>
      </c>
      <c r="F5" s="65" t="s">
        <v>82</v>
      </c>
      <c r="G5" s="66" t="s">
        <v>0</v>
      </c>
      <c r="H5" s="67" t="s">
        <v>43</v>
      </c>
      <c r="I5" s="67" t="s">
        <v>44</v>
      </c>
      <c r="J5" s="68" t="s">
        <v>45</v>
      </c>
      <c r="K5" s="65" t="str">
        <f>Modèles!B23&amp;" Cdn. ls(x)"</f>
        <v>SIDA Cdn. ls(x)</v>
      </c>
      <c r="L5" s="69" t="s">
        <v>46</v>
      </c>
      <c r="M5" s="69" t="s">
        <v>87</v>
      </c>
      <c r="N5" s="70" t="s">
        <v>88</v>
      </c>
      <c r="O5" s="71" t="s">
        <v>47</v>
      </c>
      <c r="P5" s="72" t="s">
        <v>48</v>
      </c>
      <c r="Q5" s="73" t="s">
        <v>89</v>
      </c>
      <c r="R5" s="67" t="s">
        <v>1</v>
      </c>
    </row>
    <row r="6" spans="1:31">
      <c r="A6" s="74">
        <f>COLUMN()</f>
        <v>1</v>
      </c>
      <c r="B6" s="74">
        <f>COLUMN()</f>
        <v>2</v>
      </c>
      <c r="C6" s="74"/>
      <c r="D6" s="74">
        <f>COLUMN()</f>
        <v>4</v>
      </c>
      <c r="E6" s="74">
        <f>COLUMN()</f>
        <v>5</v>
      </c>
      <c r="F6" s="74">
        <f>COLUMN()</f>
        <v>6</v>
      </c>
      <c r="G6" s="74">
        <f>COLUMN()</f>
        <v>7</v>
      </c>
      <c r="H6" s="74">
        <f>COLUMN()</f>
        <v>8</v>
      </c>
      <c r="I6" s="74">
        <f>COLUMN()</f>
        <v>9</v>
      </c>
      <c r="J6" s="74">
        <f>COLUMN()</f>
        <v>10</v>
      </c>
      <c r="K6" s="74">
        <f>COLUMN()</f>
        <v>11</v>
      </c>
      <c r="L6" s="74">
        <f>COLUMN()</f>
        <v>12</v>
      </c>
      <c r="M6" s="74">
        <f>COLUMN()</f>
        <v>13</v>
      </c>
      <c r="N6" s="74">
        <f>COLUMN()</f>
        <v>14</v>
      </c>
      <c r="O6" s="74">
        <f>COLUMN()</f>
        <v>15</v>
      </c>
      <c r="P6" s="74">
        <f>COLUMN()</f>
        <v>16</v>
      </c>
      <c r="Q6" s="74">
        <f>COLUMN()</f>
        <v>17</v>
      </c>
      <c r="R6" s="74">
        <f>COLUMN()</f>
        <v>18</v>
      </c>
    </row>
    <row r="7" spans="1:31">
      <c r="A7" s="75" t="s">
        <v>12</v>
      </c>
      <c r="B7" s="76"/>
      <c r="C7" s="76"/>
      <c r="D7" s="76"/>
      <c r="E7" s="76"/>
      <c r="F7" s="77"/>
      <c r="G7" s="3">
        <v>0</v>
      </c>
      <c r="H7" s="3"/>
      <c r="I7" s="3"/>
      <c r="J7" s="3"/>
      <c r="K7" s="3"/>
      <c r="L7" s="3"/>
      <c r="M7" s="3"/>
      <c r="N7" s="3"/>
      <c r="O7" s="3"/>
      <c r="P7" s="3"/>
      <c r="Q7" s="3"/>
      <c r="R7" s="3">
        <v>0</v>
      </c>
      <c r="AD7" s="3"/>
      <c r="AE7" s="3"/>
    </row>
    <row r="8" spans="1:31">
      <c r="A8" s="75" t="s">
        <v>13</v>
      </c>
      <c r="B8" s="76">
        <f ca="1">Méthode!C9/Méthode!Q$29</f>
        <v>2459086.5457518627</v>
      </c>
      <c r="C8" s="76">
        <f ca="1">Méthode!D9/Méthode!Q$30</f>
        <v>2550916</v>
      </c>
      <c r="D8" s="76">
        <f ca="1">Méthode!E9/Méthode!Q$33</f>
        <v>14670.25287125787</v>
      </c>
      <c r="E8" s="76">
        <f ca="1">Méthode!G$3*('Taux de mortalité'!B8*'Taux de mortalité'!C8)^0.5</f>
        <v>13409696.172021961</v>
      </c>
      <c r="F8" s="77">
        <f t="shared" ref="F8:F20" ca="1" si="0">D8/E8</f>
        <v>1.0940033751000219E-3</v>
      </c>
      <c r="G8" s="3">
        <v>5</v>
      </c>
      <c r="H8" s="78">
        <f ca="1">5*F8/(1+2.5*F8)</f>
        <v>5.4550971387967544E-3</v>
      </c>
      <c r="I8" s="3">
        <v>1</v>
      </c>
      <c r="J8" s="3"/>
      <c r="K8" s="79">
        <f>Modèles!D26</f>
        <v>1</v>
      </c>
      <c r="L8" s="3"/>
      <c r="M8" s="3"/>
      <c r="N8" s="80">
        <v>1</v>
      </c>
      <c r="O8" s="81">
        <f t="shared" ref="O8:O24" ca="1" si="1">O9+2.5*(N9+N8)</f>
        <v>54.144778339176753</v>
      </c>
      <c r="P8" s="82">
        <f t="shared" ref="P8:P24" ca="1" si="2">O8/N8</f>
        <v>54.144778339176753</v>
      </c>
      <c r="Q8" s="77">
        <f t="shared" ref="Q8:Q24" ca="1" si="3">(N8-N9)/(2.5*(N8+N9))</f>
        <v>5.2197050143123922E-3</v>
      </c>
      <c r="R8" s="3">
        <v>5</v>
      </c>
    </row>
    <row r="9" spans="1:31">
      <c r="A9" s="75" t="s">
        <v>14</v>
      </c>
      <c r="B9" s="76">
        <f ca="1">Méthode!C10/Méthode!Q$29</f>
        <v>2576487.4942911095</v>
      </c>
      <c r="C9" s="76">
        <f ca="1">Méthode!D10/Méthode!Q$30</f>
        <v>2488108.7000000002</v>
      </c>
      <c r="D9" s="76">
        <f ca="1">Méthode!E10/Méthode!Q$33</f>
        <v>10417.279678085937</v>
      </c>
      <c r="E9" s="76">
        <f ca="1">Méthode!G$3*('Taux de mortalité'!B9*'Taux de mortalité'!C9)^0.5</f>
        <v>13556033.911149731</v>
      </c>
      <c r="F9" s="77">
        <f t="shared" ca="1" si="0"/>
        <v>7.6846072725724054E-4</v>
      </c>
      <c r="G9" s="3">
        <v>10</v>
      </c>
      <c r="H9" s="78">
        <f t="shared" ref="H9:H19" ca="1" si="4">5*F9/(1+2.5*F9)</f>
        <v>3.8349361417450269E-3</v>
      </c>
      <c r="I9" s="78">
        <f t="shared" ref="I9:I25" ca="1" si="5">I8*(1-H8)</f>
        <v>0.99454490286120323</v>
      </c>
      <c r="J9" s="61">
        <f t="shared" ref="J9:J25" ca="1" si="6">IF(I9=0,NA(),0.5*LN((1-I9)/I9))</f>
        <v>-2.6028674110227765</v>
      </c>
      <c r="K9" s="79">
        <f>Modèles!D27</f>
        <v>0.98320410996033836</v>
      </c>
      <c r="L9" s="61">
        <f>0.5*LN((K$8-K9)/K9)</f>
        <v>-2.0348412612235305</v>
      </c>
      <c r="M9" s="61">
        <f t="shared" ref="M9:M27" ca="1" si="7">N$2+N$3*L9</f>
        <v>-1.8163706623701821</v>
      </c>
      <c r="N9" s="83">
        <f ca="1">(1/(1+EXP(2*M9)))</f>
        <v>0.97423765453791034</v>
      </c>
      <c r="O9" s="81">
        <f t="shared" ca="1" si="1"/>
        <v>49.209184202831977</v>
      </c>
      <c r="P9" s="82">
        <f t="shared" ca="1" si="2"/>
        <v>50.510451914499583</v>
      </c>
      <c r="Q9" s="77">
        <f t="shared" ca="1" si="3"/>
        <v>2.1168038516412926E-3</v>
      </c>
      <c r="R9" s="3">
        <v>10</v>
      </c>
    </row>
    <row r="10" spans="1:31">
      <c r="A10" s="75" t="s">
        <v>15</v>
      </c>
      <c r="B10" s="76">
        <f ca="1">Méthode!C11/Méthode!Q$29</f>
        <v>2562025.3963273796</v>
      </c>
      <c r="C10" s="76">
        <f ca="1">Méthode!D11/Méthode!Q$30</f>
        <v>2534285</v>
      </c>
      <c r="D10" s="76">
        <f ca="1">Méthode!E11/Méthode!Q$33</f>
        <v>27050.155630247929</v>
      </c>
      <c r="E10" s="76">
        <f ca="1">Méthode!G$3*('Taux de mortalité'!B10*'Taux de mortalité'!C10)^0.5</f>
        <v>13642796.276686057</v>
      </c>
      <c r="F10" s="77">
        <f t="shared" ca="1" si="0"/>
        <v>1.98274276633988E-3</v>
      </c>
      <c r="G10" s="3">
        <v>15</v>
      </c>
      <c r="H10" s="78">
        <f ca="1">5*F10/(1+2.5*F10)</f>
        <v>9.8648153534908675E-3</v>
      </c>
      <c r="I10" s="78">
        <f t="shared" ca="1" si="5"/>
        <v>0.99073088666863252</v>
      </c>
      <c r="J10" s="61">
        <f t="shared" ca="1" si="6"/>
        <v>-2.3358776071801048</v>
      </c>
      <c r="K10" s="79">
        <f>Modèles!D28</f>
        <v>0.97638131110322068</v>
      </c>
      <c r="L10" s="61">
        <f t="shared" ref="L10:L27" si="8">0.5*LN((K$8-K10)/K10)</f>
        <v>-1.8609074483360626</v>
      </c>
      <c r="M10" s="61">
        <f t="shared" ca="1" si="7"/>
        <v>-1.6435065271614873</v>
      </c>
      <c r="N10" s="83">
        <f t="shared" ref="N10:N27" ca="1" si="9">(1/(1+EXP(2*M10)))</f>
        <v>0.96398058495123029</v>
      </c>
      <c r="O10" s="81">
        <f t="shared" ca="1" si="1"/>
        <v>44.363638604109127</v>
      </c>
      <c r="P10" s="82">
        <f t="shared" ca="1" si="2"/>
        <v>46.021298869160908</v>
      </c>
      <c r="Q10" s="77">
        <f t="shared" ca="1" si="3"/>
        <v>4.2101248057349432E-3</v>
      </c>
      <c r="R10" s="3">
        <v>15</v>
      </c>
    </row>
    <row r="11" spans="1:31">
      <c r="A11" s="75" t="s">
        <v>16</v>
      </c>
      <c r="B11" s="76">
        <f ca="1">Méthode!C12/Méthode!Q$29</f>
        <v>2224260.3324094536</v>
      </c>
      <c r="C11" s="76">
        <f ca="1">Méthode!D12/Méthode!Q$30</f>
        <v>2422487.4</v>
      </c>
      <c r="D11" s="76">
        <f ca="1">Méthode!E12/Méthode!Q$33</f>
        <v>85166.558823587169</v>
      </c>
      <c r="E11" s="76">
        <f ca="1">Méthode!G$3*('Taux de mortalité'!B11*'Taux de mortalité'!C11)^0.5</f>
        <v>12428179.697137794</v>
      </c>
      <c r="F11" s="77">
        <f t="shared" ca="1" si="0"/>
        <v>6.8526977320098621E-3</v>
      </c>
      <c r="G11" s="3">
        <v>20</v>
      </c>
      <c r="H11" s="78">
        <f t="shared" ca="1" si="4"/>
        <v>3.3686382173253628E-2</v>
      </c>
      <c r="I11" s="78">
        <f t="shared" ca="1" si="5"/>
        <v>0.98095750940664617</v>
      </c>
      <c r="J11" s="61">
        <f t="shared" ca="1" si="6"/>
        <v>-1.970928157896741</v>
      </c>
      <c r="K11" s="79">
        <f>Modèles!D29</f>
        <v>0.9628454159113693</v>
      </c>
      <c r="L11" s="61">
        <f t="shared" si="8"/>
        <v>-1.6274028589318907</v>
      </c>
      <c r="M11" s="61">
        <f t="shared" ca="1" si="7"/>
        <v>-1.4114379704816618</v>
      </c>
      <c r="N11" s="83">
        <f t="shared" ca="1" si="9"/>
        <v>0.94389955123194591</v>
      </c>
      <c r="O11" s="81">
        <f t="shared" ca="1" si="1"/>
        <v>39.593938263651182</v>
      </c>
      <c r="P11" s="82">
        <f t="shared" ca="1" si="2"/>
        <v>41.947194711528901</v>
      </c>
      <c r="Q11" s="77">
        <f t="shared" ca="1" si="3"/>
        <v>8.4872404459042389E-3</v>
      </c>
      <c r="R11" s="3">
        <v>20</v>
      </c>
    </row>
    <row r="12" spans="1:31">
      <c r="A12" s="75" t="s">
        <v>17</v>
      </c>
      <c r="B12" s="76">
        <f ca="1">Méthode!C13/Méthode!Q$29</f>
        <v>2062759.8129041642</v>
      </c>
      <c r="C12" s="76">
        <f ca="1">Méthode!D13/Méthode!Q$30</f>
        <v>2021156.4</v>
      </c>
      <c r="D12" s="76">
        <f ca="1">Méthode!E13/Méthode!Q$33</f>
        <v>155451.56037016882</v>
      </c>
      <c r="E12" s="76">
        <f ca="1">Méthode!G$3*('Taux de mortalité'!B12*'Taux de mortalité'!C12)^0.5</f>
        <v>10932217.00163411</v>
      </c>
      <c r="F12" s="77">
        <f t="shared" ca="1" si="0"/>
        <v>1.4219582390921481E-2</v>
      </c>
      <c r="G12" s="3">
        <v>25</v>
      </c>
      <c r="H12" s="78">
        <f t="shared" ca="1" si="4"/>
        <v>6.86572194817274E-2</v>
      </c>
      <c r="I12" s="78">
        <f t="shared" ca="1" si="5"/>
        <v>0.94791259984905085</v>
      </c>
      <c r="J12" s="61">
        <f t="shared" ca="1" si="6"/>
        <v>-1.4506696119772502</v>
      </c>
      <c r="K12" s="79">
        <f>Modèles!D30</f>
        <v>0.9357571294879411</v>
      </c>
      <c r="L12" s="61">
        <f t="shared" si="8"/>
        <v>-1.3393426064696889</v>
      </c>
      <c r="M12" s="61">
        <f t="shared" ca="1" si="7"/>
        <v>-1.1251492632819093</v>
      </c>
      <c r="N12" s="83">
        <f t="shared" ca="1" si="9"/>
        <v>0.90467628227822428</v>
      </c>
      <c r="O12" s="81">
        <f t="shared" ca="1" si="1"/>
        <v>34.972498679875756</v>
      </c>
      <c r="P12" s="82">
        <f t="shared" ca="1" si="2"/>
        <v>38.657472694879722</v>
      </c>
      <c r="Q12" s="77">
        <f t="shared" ca="1" si="3"/>
        <v>1.4896025446683588E-2</v>
      </c>
      <c r="R12" s="3">
        <v>25</v>
      </c>
    </row>
    <row r="13" spans="1:31">
      <c r="A13" s="75" t="s">
        <v>18</v>
      </c>
      <c r="B13" s="76">
        <f ca="1">Méthode!C14/Méthode!Q$29</f>
        <v>1769550.2499006963</v>
      </c>
      <c r="C13" s="76">
        <f ca="1">Méthode!D14/Méthode!Q$30</f>
        <v>1850429.3</v>
      </c>
      <c r="D13" s="76">
        <f ca="1">Méthode!E14/Méthode!Q$33</f>
        <v>171801.12394739236</v>
      </c>
      <c r="E13" s="76">
        <f ca="1">Méthode!G$3*('Taux de mortalité'!B13*'Taux de mortalité'!C13)^0.5</f>
        <v>9688390.8405672405</v>
      </c>
      <c r="F13" s="77">
        <f t="shared" ca="1" si="0"/>
        <v>1.7732678911757619E-2</v>
      </c>
      <c r="G13" s="3">
        <v>30</v>
      </c>
      <c r="H13" s="78">
        <f t="shared" ca="1" si="4"/>
        <v>8.4899649019336068E-2</v>
      </c>
      <c r="I13" s="78">
        <f t="shared" ca="1" si="5"/>
        <v>0.88283155643171973</v>
      </c>
      <c r="J13" s="61">
        <f t="shared" ca="1" si="6"/>
        <v>-1.0097609157654737</v>
      </c>
      <c r="K13" s="79">
        <f>Modèles!D31</f>
        <v>0.88902488270950042</v>
      </c>
      <c r="L13" s="61">
        <f t="shared" si="8"/>
        <v>-1.0404096085214742</v>
      </c>
      <c r="M13" s="61">
        <f t="shared" ca="1" si="7"/>
        <v>-0.82805467702631241</v>
      </c>
      <c r="N13" s="83">
        <f t="shared" ca="1" si="9"/>
        <v>0.83971503851928986</v>
      </c>
      <c r="O13" s="81">
        <f t="shared" ca="1" si="1"/>
        <v>30.611520377881973</v>
      </c>
      <c r="P13" s="82">
        <f t="shared" ca="1" si="2"/>
        <v>36.45465303546397</v>
      </c>
      <c r="Q13" s="77">
        <f t="shared" ca="1" si="3"/>
        <v>1.7646997717362108E-2</v>
      </c>
      <c r="R13" s="3">
        <v>30</v>
      </c>
    </row>
    <row r="14" spans="1:31">
      <c r="A14" s="75" t="s">
        <v>19</v>
      </c>
      <c r="B14" s="76">
        <f ca="1">Méthode!C15/Méthode!Q$29</f>
        <v>1651852.440306148</v>
      </c>
      <c r="C14" s="76">
        <f ca="1">Méthode!D15/Méthode!Q$30</f>
        <v>1664349.2</v>
      </c>
      <c r="D14" s="76">
        <f ca="1">Méthode!E15/Méthode!Q$33</f>
        <v>142327.955668329</v>
      </c>
      <c r="E14" s="76">
        <f ca="1">Méthode!G$3*('Taux de mortalité'!B14*'Taux de mortalité'!C14)^0.5</f>
        <v>8877522.9292666167</v>
      </c>
      <c r="F14" s="77">
        <f t="shared" ca="1" si="0"/>
        <v>1.603239516274467E-2</v>
      </c>
      <c r="G14" s="3">
        <v>35</v>
      </c>
      <c r="H14" s="78">
        <f t="shared" ca="1" si="4"/>
        <v>7.7072821006994294E-2</v>
      </c>
      <c r="I14" s="78">
        <f t="shared" ca="1" si="5"/>
        <v>0.8078794671474725</v>
      </c>
      <c r="J14" s="61">
        <f t="shared" ca="1" si="6"/>
        <v>-0.71814496136908446</v>
      </c>
      <c r="K14" s="79">
        <f>Modèles!D32</f>
        <v>0.83523339186716261</v>
      </c>
      <c r="L14" s="61">
        <f t="shared" si="8"/>
        <v>-0.81159061031057433</v>
      </c>
      <c r="M14" s="61">
        <f t="shared" ca="1" si="7"/>
        <v>-0.6006428955652906</v>
      </c>
      <c r="N14" s="83">
        <f t="shared" ca="1" si="9"/>
        <v>0.76875343961411702</v>
      </c>
      <c r="O14" s="81">
        <f t="shared" ca="1" si="1"/>
        <v>26.590349182548454</v>
      </c>
      <c r="P14" s="82">
        <f t="shared" ca="1" si="2"/>
        <v>34.588917346367552</v>
      </c>
      <c r="Q14" s="77">
        <f t="shared" ca="1" si="3"/>
        <v>1.5856448886804594E-2</v>
      </c>
      <c r="R14" s="3">
        <v>35</v>
      </c>
    </row>
    <row r="15" spans="1:31">
      <c r="A15" s="75" t="s">
        <v>20</v>
      </c>
      <c r="B15" s="76">
        <f ca="1">Méthode!C16/Méthode!Q$29</f>
        <v>1404247.0170984932</v>
      </c>
      <c r="C15" s="76">
        <f ca="1">Méthode!D16/Méthode!Q$30</f>
        <v>1520926.4</v>
      </c>
      <c r="D15" s="76">
        <f ca="1">Méthode!E16/Méthode!Q$33</f>
        <v>116505.66225069328</v>
      </c>
      <c r="E15" s="76">
        <f ca="1">Méthode!G$3*('Taux de mortalité'!B15*'Taux de mortalité'!C15)^0.5</f>
        <v>7824557.8617417514</v>
      </c>
      <c r="F15" s="77">
        <f t="shared" ca="1" si="0"/>
        <v>1.4889743843591317E-2</v>
      </c>
      <c r="G15" s="3">
        <v>40</v>
      </c>
      <c r="H15" s="78">
        <f t="shared" ca="1" si="4"/>
        <v>7.1776871154494382E-2</v>
      </c>
      <c r="I15" s="78">
        <f t="shared" ca="1" si="5"/>
        <v>0.74561391758078943</v>
      </c>
      <c r="J15" s="61">
        <f t="shared" ca="1" si="6"/>
        <v>-0.53767740349130699</v>
      </c>
      <c r="K15" s="79">
        <f>Modèles!D33</f>
        <v>0.78851818916567196</v>
      </c>
      <c r="L15" s="61">
        <f t="shared" si="8"/>
        <v>-0.65800824009637715</v>
      </c>
      <c r="M15" s="61">
        <f t="shared" ca="1" si="7"/>
        <v>-0.4480050434441768</v>
      </c>
      <c r="N15" s="83">
        <f t="shared" ca="1" si="9"/>
        <v>0.71012888465325608</v>
      </c>
      <c r="O15" s="81">
        <f t="shared" ca="1" si="1"/>
        <v>22.893143371880022</v>
      </c>
      <c r="P15" s="82">
        <f t="shared" ca="1" si="2"/>
        <v>32.238011812543519</v>
      </c>
      <c r="Q15" s="77">
        <f t="shared" ca="1" si="3"/>
        <v>1.2754788026189307E-2</v>
      </c>
      <c r="R15" s="3">
        <v>40</v>
      </c>
    </row>
    <row r="16" spans="1:31">
      <c r="A16" s="75" t="s">
        <v>21</v>
      </c>
      <c r="B16" s="76">
        <f ca="1">Méthode!C17/Méthode!Q$29</f>
        <v>1134677.9285091839</v>
      </c>
      <c r="C16" s="76">
        <f ca="1">Méthode!D17/Méthode!Q$30</f>
        <v>1294503.5</v>
      </c>
      <c r="D16" s="76">
        <f ca="1">Méthode!E17/Méthode!Q$33</f>
        <v>94021.844219506485</v>
      </c>
      <c r="E16" s="76">
        <f ca="1">Méthode!G$3*('Taux de mortalité'!B16*'Taux de mortalité'!C16)^0.5</f>
        <v>6488911.7886986202</v>
      </c>
      <c r="F16" s="77">
        <f t="shared" ca="1" si="0"/>
        <v>1.4489616638533929E-2</v>
      </c>
      <c r="G16" s="3">
        <v>45</v>
      </c>
      <c r="H16" s="78">
        <f t="shared" ca="1" si="4"/>
        <v>6.9915462568366157E-2</v>
      </c>
      <c r="I16" s="78">
        <f t="shared" ca="1" si="5"/>
        <v>0.69209608348759533</v>
      </c>
      <c r="J16" s="61">
        <f t="shared" ca="1" si="6"/>
        <v>-0.40496851001037004</v>
      </c>
      <c r="K16" s="79">
        <f>Modèles!D34</f>
        <v>0.75212349180925553</v>
      </c>
      <c r="L16" s="61">
        <f t="shared" si="8"/>
        <v>-0.55498492849825398</v>
      </c>
      <c r="M16" s="61">
        <f t="shared" ca="1" si="7"/>
        <v>-0.34561531616747077</v>
      </c>
      <c r="N16" s="83">
        <f t="shared" ca="1" si="9"/>
        <v>0.66624063110523513</v>
      </c>
      <c r="O16" s="81">
        <f t="shared" ca="1" si="1"/>
        <v>19.452219582483792</v>
      </c>
      <c r="P16" s="82">
        <f t="shared" ca="1" si="2"/>
        <v>29.196987806363978</v>
      </c>
      <c r="Q16" s="77">
        <f t="shared" ca="1" si="3"/>
        <v>1.0565702698931244E-2</v>
      </c>
      <c r="R16" s="3">
        <v>45</v>
      </c>
    </row>
    <row r="17" spans="1:18">
      <c r="A17" s="75" t="s">
        <v>22</v>
      </c>
      <c r="B17" s="76">
        <f ca="1">Méthode!C18/Méthode!Q$29</f>
        <v>880082.59260349278</v>
      </c>
      <c r="C17" s="76">
        <f ca="1">Méthode!D18/Méthode!Q$30</f>
        <v>1074540.7</v>
      </c>
      <c r="D17" s="76">
        <f ca="1">Méthode!E18/Méthode!Q$33</f>
        <v>82330.32069783489</v>
      </c>
      <c r="E17" s="76">
        <f ca="1">Méthode!G$3*('Taux de mortalité'!B17*'Taux de mortalité'!C17)^0.5</f>
        <v>5206634.6307986034</v>
      </c>
      <c r="F17" s="77">
        <f t="shared" ca="1" si="0"/>
        <v>1.5812578860600193E-2</v>
      </c>
      <c r="G17" s="3">
        <v>50</v>
      </c>
      <c r="H17" s="78">
        <f t="shared" ca="1" si="4"/>
        <v>7.6056279509049238E-2</v>
      </c>
      <c r="I17" s="78">
        <f t="shared" ca="1" si="5"/>
        <v>0.64370786566880556</v>
      </c>
      <c r="J17" s="61">
        <f t="shared" ca="1" si="6"/>
        <v>-0.29574700102574203</v>
      </c>
      <c r="K17" s="79">
        <f>Modèles!D35</f>
        <v>0.72280096172609243</v>
      </c>
      <c r="L17" s="61">
        <f t="shared" si="8"/>
        <v>-0.47919904569705241</v>
      </c>
      <c r="M17" s="61">
        <f t="shared" ca="1" si="7"/>
        <v>-0.27029550989188988</v>
      </c>
      <c r="N17" s="83">
        <f t="shared" ca="1" si="9"/>
        <v>0.63194989328699036</v>
      </c>
      <c r="O17" s="81">
        <f t="shared" ca="1" si="1"/>
        <v>16.206743271503228</v>
      </c>
      <c r="P17" s="82">
        <f t="shared" ca="1" si="2"/>
        <v>25.6456143812389</v>
      </c>
      <c r="Q17" s="77">
        <f t="shared" ca="1" si="3"/>
        <v>1.126791088487138E-2</v>
      </c>
      <c r="R17" s="3">
        <v>50</v>
      </c>
    </row>
    <row r="18" spans="1:18">
      <c r="A18" s="75" t="s">
        <v>23</v>
      </c>
      <c r="B18" s="76">
        <f ca="1">Méthode!C19/Méthode!Q$29</f>
        <v>661635.40936348354</v>
      </c>
      <c r="C18" s="76">
        <f ca="1">Méthode!D19/Méthode!Q$30</f>
        <v>849485.89391343389</v>
      </c>
      <c r="D18" s="76">
        <f ca="1">Méthode!E19/Méthode!Q$33</f>
        <v>72604.720197072005</v>
      </c>
      <c r="E18" s="76">
        <f ca="1">Méthode!G$3*('Taux de mortalité'!B18*'Taux de mortalité'!C18)^0.5</f>
        <v>4013944.9125093054</v>
      </c>
      <c r="F18" s="77">
        <f t="shared" ca="1" si="0"/>
        <v>1.8088120733994673E-2</v>
      </c>
      <c r="G18" s="3">
        <v>55</v>
      </c>
      <c r="H18" s="78">
        <f t="shared" ca="1" si="4"/>
        <v>8.6527790850594866E-2</v>
      </c>
      <c r="I18" s="78">
        <f t="shared" ca="1" si="5"/>
        <v>0.59474984031532541</v>
      </c>
      <c r="J18" s="61">
        <f t="shared" ca="1" si="6"/>
        <v>-0.19181816301849755</v>
      </c>
      <c r="K18" s="79">
        <f>Modèles!D36</f>
        <v>0.69236927413076821</v>
      </c>
      <c r="L18" s="61">
        <f t="shared" si="8"/>
        <v>-0.40560966236923085</v>
      </c>
      <c r="M18" s="61">
        <f t="shared" ca="1" si="7"/>
        <v>-0.19715869481076906</v>
      </c>
      <c r="N18" s="83">
        <f t="shared" ca="1" si="9"/>
        <v>0.59732158948404601</v>
      </c>
      <c r="O18" s="81">
        <f t="shared" ca="1" si="1"/>
        <v>13.133564564575638</v>
      </c>
      <c r="P18" s="82">
        <f t="shared" ca="1" si="2"/>
        <v>21.987426531694826</v>
      </c>
      <c r="Q18" s="77">
        <f t="shared" ca="1" si="3"/>
        <v>1.3889692377274651E-2</v>
      </c>
      <c r="R18" s="3">
        <v>55</v>
      </c>
    </row>
    <row r="19" spans="1:18">
      <c r="A19" s="75" t="s">
        <v>24</v>
      </c>
      <c r="B19" s="76">
        <f ca="1">Méthode!C20/Méthode!Q$29</f>
        <v>629042.49711777677</v>
      </c>
      <c r="C19" s="76">
        <f ca="1">Méthode!D20/Méthode!Q$30</f>
        <v>647158.57880766876</v>
      </c>
      <c r="D19" s="76">
        <f ca="1">Méthode!E20/Méthode!Q$33</f>
        <v>79394.518402853631</v>
      </c>
      <c r="E19" s="76">
        <f ca="1">Méthode!G$3*('Taux de mortalité'!B19*'Taux de mortalité'!C19)^0.5</f>
        <v>3416089.9831193006</v>
      </c>
      <c r="F19" s="77">
        <f t="shared" ca="1" si="0"/>
        <v>2.3241342820354192E-2</v>
      </c>
      <c r="G19" s="3">
        <v>60</v>
      </c>
      <c r="H19" s="78">
        <f t="shared" ca="1" si="4"/>
        <v>0.10982548474816194</v>
      </c>
      <c r="I19" s="78">
        <f t="shared" ca="1" si="5"/>
        <v>0.54328745052409622</v>
      </c>
      <c r="J19" s="61">
        <f t="shared" ca="1" si="6"/>
        <v>-8.6792178133418649E-2</v>
      </c>
      <c r="K19" s="79">
        <f>Modèles!D37</f>
        <v>0.65606676019460419</v>
      </c>
      <c r="L19" s="61">
        <f t="shared" si="8"/>
        <v>-0.32290749207459518</v>
      </c>
      <c r="M19" s="61">
        <f t="shared" ca="1" si="7"/>
        <v>-0.11496513560262464</v>
      </c>
      <c r="N19" s="83">
        <f t="shared" ca="1" si="9"/>
        <v>0.55723065085455492</v>
      </c>
      <c r="O19" s="81">
        <f t="shared" ca="1" si="1"/>
        <v>10.247183963729135</v>
      </c>
      <c r="P19" s="82">
        <f t="shared" ca="1" si="2"/>
        <v>18.389483686897538</v>
      </c>
      <c r="Q19" s="77">
        <f t="shared" ca="1" si="3"/>
        <v>2.0261424631706069E-2</v>
      </c>
      <c r="R19" s="3">
        <v>60</v>
      </c>
    </row>
    <row r="20" spans="1:18">
      <c r="A20" s="84" t="str">
        <f ca="1">IF(E20=0,"", IF(E21=0, "65+", "   65-69"))</f>
        <v xml:space="preserve">   65-69</v>
      </c>
      <c r="B20" s="76">
        <f ca="1">Méthode!C21/Méthode!Q$29</f>
        <v>489631.2770243712</v>
      </c>
      <c r="C20" s="76">
        <f ca="1">Méthode!D21/Méthode!Q$30</f>
        <v>553050.20290078165</v>
      </c>
      <c r="D20" s="76">
        <f ca="1">Méthode!E21/Méthode!Q$33</f>
        <v>86664.604783846866</v>
      </c>
      <c r="E20" s="76">
        <f ca="1">Méthode!G$3*('Taux de mortalité'!B20*'Taux de mortalité'!C20)^0.5</f>
        <v>2786126.341652018</v>
      </c>
      <c r="F20" s="77">
        <f t="shared" ca="1" si="0"/>
        <v>3.1105769859833265E-2</v>
      </c>
      <c r="G20" s="3">
        <v>65</v>
      </c>
      <c r="H20" s="78">
        <f ca="1">IF(D21=0,NA(),5*F20/(1+2.5*F20))</f>
        <v>0.14430690579690816</v>
      </c>
      <c r="I20" s="78">
        <f t="shared" ca="1" si="5"/>
        <v>0.48362064291269435</v>
      </c>
      <c r="J20" s="61">
        <f t="shared" ca="1" si="6"/>
        <v>3.2770439881761981E-2</v>
      </c>
      <c r="K20" s="79">
        <f>Modèles!D38</f>
        <v>0.60552786775024225</v>
      </c>
      <c r="L20" s="61">
        <f t="shared" si="8"/>
        <v>-0.2142760445943791</v>
      </c>
      <c r="M20" s="61">
        <f t="shared" ca="1" si="7"/>
        <v>-7.0017619871353409E-3</v>
      </c>
      <c r="N20" s="83">
        <f t="shared" ca="1" si="9"/>
        <v>0.5035008237848434</v>
      </c>
      <c r="O20" s="81">
        <f t="shared" ca="1" si="1"/>
        <v>7.595355277130639</v>
      </c>
      <c r="P20" s="82">
        <f t="shared" ca="1" si="2"/>
        <v>15.085090070033919</v>
      </c>
      <c r="Q20" s="77">
        <f t="shared" ca="1" si="3"/>
        <v>3.1832631683834253E-2</v>
      </c>
      <c r="R20" s="3">
        <v>65</v>
      </c>
    </row>
    <row r="21" spans="1:18">
      <c r="A21" s="84" t="str">
        <f ca="1">IF(E21=0,"", IF(E22=0," 70+", "   70-74"))</f>
        <v xml:space="preserve">   70-74</v>
      </c>
      <c r="B21" s="76">
        <f ca="1">Méthode!C22/Méthode!Q$29</f>
        <v>404290.3092800171</v>
      </c>
      <c r="C21" s="76">
        <f ca="1">Méthode!D22/Méthode!Q$30</f>
        <v>413776.35931542347</v>
      </c>
      <c r="D21" s="76">
        <f ca="1">Méthode!E22/Méthode!Q$33</f>
        <v>94017.486566773165</v>
      </c>
      <c r="E21" s="76">
        <f ca="1">Méthode!G$3*('Taux de mortalité'!B21*'Taux de mortalité'!C21)^0.5</f>
        <v>2189845.3986168895</v>
      </c>
      <c r="F21" s="77">
        <f ca="1">IF(E21&gt;0,D21/E21,NA())</f>
        <v>4.2933390012899898E-2</v>
      </c>
      <c r="G21" s="3">
        <v>70</v>
      </c>
      <c r="H21" s="78">
        <f ca="1">IF(D22=0,NA(),5*F21/(1+2.5*F21))</f>
        <v>0.1938593521326063</v>
      </c>
      <c r="I21" s="78">
        <f t="shared" ca="1" si="5"/>
        <v>0.413830844354452</v>
      </c>
      <c r="J21" s="61">
        <f t="shared" ca="1" si="6"/>
        <v>0.17407555380950113</v>
      </c>
      <c r="K21" s="79">
        <f>Modèles!D39</f>
        <v>0.53192330203651572</v>
      </c>
      <c r="L21" s="61">
        <f t="shared" si="8"/>
        <v>-6.3933571408291895E-2</v>
      </c>
      <c r="M21" s="61">
        <f t="shared" ca="1" si="7"/>
        <v>0.14241611818814526</v>
      </c>
      <c r="N21" s="83">
        <f t="shared" ca="1" si="9"/>
        <v>0.42926948923491176</v>
      </c>
      <c r="O21" s="81">
        <f t="shared" ca="1" si="1"/>
        <v>5.263429494581251</v>
      </c>
      <c r="P21" s="82">
        <f t="shared" ca="1" si="2"/>
        <v>12.261364076823341</v>
      </c>
      <c r="Q21" s="77">
        <f t="shared" ca="1" si="3"/>
        <v>4.5785933090456657E-2</v>
      </c>
      <c r="R21" s="3">
        <v>70</v>
      </c>
    </row>
    <row r="22" spans="1:18">
      <c r="A22" s="84" t="str">
        <f ca="1">IF(E22=0,"", IF(E23=0," 75+", "   75-79"))</f>
        <v xml:space="preserve">   75-79</v>
      </c>
      <c r="B22" s="76">
        <f ca="1">Méthode!C23/Méthode!Q$29</f>
        <v>234201.08272424855</v>
      </c>
      <c r="C22" s="76">
        <f ca="1">Méthode!D23/Méthode!Q$30</f>
        <v>304906.3815560232</v>
      </c>
      <c r="D22" s="76">
        <f ca="1">Méthode!E23/Méthode!Q$33</f>
        <v>88894.328163303318</v>
      </c>
      <c r="E22" s="76">
        <f ca="1">Méthode!G$3*('Taux de mortalité'!B22*'Taux de mortalité'!C22)^0.5</f>
        <v>1430743.0947711614</v>
      </c>
      <c r="F22" s="77">
        <f ca="1">IF(E22&gt;0,D22/E22,NA())</f>
        <v>6.2131579378701403E-2</v>
      </c>
      <c r="G22" s="3">
        <v>75</v>
      </c>
      <c r="H22" s="78">
        <f ca="1">IF(D23=0,NA(),5*F22/(1+2.5*F22))</f>
        <v>0.26889129482227681</v>
      </c>
      <c r="I22" s="78">
        <f t="shared" ca="1" si="5"/>
        <v>0.33360586497540851</v>
      </c>
      <c r="J22" s="61">
        <f t="shared" ca="1" si="6"/>
        <v>0.34596051931940569</v>
      </c>
      <c r="K22" s="79">
        <f>Modèles!D40</f>
        <v>0.43830317496687676</v>
      </c>
      <c r="L22" s="61">
        <f t="shared" si="8"/>
        <v>0.1240256979390101</v>
      </c>
      <c r="M22" s="61">
        <f t="shared" ca="1" si="7"/>
        <v>0.32921945453080836</v>
      </c>
      <c r="N22" s="83">
        <f t="shared" ca="1" si="9"/>
        <v>0.34109037610934806</v>
      </c>
      <c r="O22" s="81">
        <f t="shared" ca="1" si="1"/>
        <v>3.3375298312206017</v>
      </c>
      <c r="P22" s="82">
        <f t="shared" ca="1" si="2"/>
        <v>9.7848841978193004</v>
      </c>
      <c r="Q22" s="77">
        <f t="shared" ca="1" si="3"/>
        <v>6.5601933645319341E-2</v>
      </c>
      <c r="R22" s="3">
        <v>75</v>
      </c>
    </row>
    <row r="23" spans="1:18">
      <c r="A23" s="84" t="str">
        <f ca="1">IF(E23=0,"", IF(E24=0," 80+", "   80-84"))</f>
        <v xml:space="preserve">   80-84</v>
      </c>
      <c r="B23" s="76">
        <f ca="1">Méthode!C24/Méthode!Q$29</f>
        <v>182524.96919320847</v>
      </c>
      <c r="C23" s="76">
        <f ca="1">Méthode!D24/Méthode!Q$30</f>
        <v>169637.17457712468</v>
      </c>
      <c r="D23" s="76">
        <f ca="1">Méthode!E24/Méthode!Q$33</f>
        <v>77590.212031260002</v>
      </c>
      <c r="E23" s="76">
        <f ca="1">Méthode!G$3*('Taux de mortalité'!B23*'Taux de mortalité'!C23)^0.5</f>
        <v>942118.66792906763</v>
      </c>
      <c r="F23" s="77">
        <f ca="1">IF(E23&gt;0,D23/E23,NA())</f>
        <v>8.2357153798699373E-2</v>
      </c>
      <c r="G23" s="3">
        <v>80</v>
      </c>
      <c r="H23" s="78">
        <f ca="1">IF(D24=0,NA(),5*F23/(1+2.5*F23))</f>
        <v>0.34147789931221473</v>
      </c>
      <c r="I23" s="78">
        <f t="shared" ca="1" si="5"/>
        <v>0.24390215198186527</v>
      </c>
      <c r="J23" s="61">
        <f t="shared" ca="1" si="6"/>
        <v>0.56570183400148066</v>
      </c>
      <c r="K23" s="79">
        <f>Modèles!D41</f>
        <v>0.32780972585300416</v>
      </c>
      <c r="L23" s="61">
        <f t="shared" si="8"/>
        <v>0.35905405527249362</v>
      </c>
      <c r="M23" s="61">
        <f t="shared" ca="1" si="7"/>
        <v>0.56280240810095938</v>
      </c>
      <c r="N23" s="83">
        <f t="shared" ca="1" si="9"/>
        <v>0.24497312829040779</v>
      </c>
      <c r="O23" s="81">
        <f ca="1">O24+2.5*(N24+N23)</f>
        <v>1.872371070221212</v>
      </c>
      <c r="P23" s="82">
        <f t="shared" ca="1" si="2"/>
        <v>7.643169205079408</v>
      </c>
      <c r="Q23" s="77">
        <f t="shared" ca="1" si="3"/>
        <v>9.5960884438165556E-2</v>
      </c>
      <c r="R23" s="3">
        <v>80</v>
      </c>
    </row>
    <row r="24" spans="1:18">
      <c r="A24" s="84" t="str">
        <f ca="1">IF(E24=0,"", "85+")</f>
        <v>85+</v>
      </c>
      <c r="B24" s="76">
        <f ca="1">Méthode!C25/Méthode!Q$29</f>
        <v>112913.58466917816</v>
      </c>
      <c r="C24" s="76">
        <f ca="1">Méthode!D25/Méthode!Q$30</f>
        <v>156424.88882916409</v>
      </c>
      <c r="D24" s="76">
        <f ca="1">Méthode!E25/Méthode!Q$33</f>
        <v>108711.64312715511</v>
      </c>
      <c r="E24" s="76">
        <f ca="1">Méthode!G$3*('Taux de mortalité'!B24*'Taux de mortalité'!C24)^0.5</f>
        <v>711557.4619190949</v>
      </c>
      <c r="F24" s="77">
        <f ca="1">IF(E24&gt;0,D24/E24,NA())</f>
        <v>0.15277985116473389</v>
      </c>
      <c r="G24" s="3">
        <v>85</v>
      </c>
      <c r="H24" s="78" t="e">
        <f>NA()</f>
        <v>#N/A</v>
      </c>
      <c r="I24" s="78">
        <f t="shared" ca="1" si="5"/>
        <v>0.16061495748536939</v>
      </c>
      <c r="J24" s="61">
        <f t="shared" ca="1" si="6"/>
        <v>0.82682979963970593</v>
      </c>
      <c r="K24" s="79">
        <f>Modèles!D42</f>
        <v>0.20924461949419443</v>
      </c>
      <c r="L24" s="61">
        <f t="shared" si="8"/>
        <v>0.66474233536003369</v>
      </c>
      <c r="M24" s="61">
        <f t="shared" ca="1" si="7"/>
        <v>0.86661073210380346</v>
      </c>
      <c r="N24" s="83">
        <f t="shared" ca="1" si="9"/>
        <v>0.15017598282212402</v>
      </c>
      <c r="O24" s="81">
        <f t="shared" ca="1" si="1"/>
        <v>0.88449829243988243</v>
      </c>
      <c r="P24" s="82">
        <f t="shared" ca="1" si="2"/>
        <v>5.8897453229091008</v>
      </c>
      <c r="Q24" s="77">
        <f t="shared" ca="1" si="3"/>
        <v>0.13911352551755152</v>
      </c>
      <c r="R24" s="3">
        <v>85</v>
      </c>
    </row>
    <row r="25" spans="1:18">
      <c r="A25" s="75"/>
      <c r="B25" s="76"/>
      <c r="C25" s="76"/>
      <c r="D25" s="76"/>
      <c r="E25" s="3"/>
      <c r="F25" s="3"/>
      <c r="G25" s="3"/>
      <c r="H25" s="78"/>
      <c r="I25" s="78" t="e">
        <f t="shared" ca="1" si="5"/>
        <v>#N/A</v>
      </c>
      <c r="J25" s="61" t="e">
        <f t="shared" ca="1" si="6"/>
        <v>#N/A</v>
      </c>
      <c r="K25" s="79">
        <f>K24*EXP((LN(K24/K23))^2/LN(K23/K22))</f>
        <v>0.10455250196644024</v>
      </c>
      <c r="L25" s="61">
        <f t="shared" si="8"/>
        <v>1.0738171173598614</v>
      </c>
      <c r="M25" s="61">
        <f t="shared" ca="1" si="7"/>
        <v>1.2731697401089721</v>
      </c>
      <c r="N25" s="83">
        <f t="shared" ca="1" si="9"/>
        <v>7.2672787559519614E-2</v>
      </c>
      <c r="O25" s="81">
        <f ca="1">O26+2.5*(N26+N25)</f>
        <v>0.32737636648577328</v>
      </c>
      <c r="P25" s="82">
        <f ca="1">O25/N25</f>
        <v>4.50479990488392</v>
      </c>
      <c r="Q25" s="77">
        <f ca="1">1/P25</f>
        <v>0.22198544244236929</v>
      </c>
      <c r="R25" s="3">
        <v>90</v>
      </c>
    </row>
    <row r="26" spans="1:18">
      <c r="A26" s="75" t="s">
        <v>25</v>
      </c>
      <c r="B26" s="76">
        <f ca="1">SUM(B7:B24)</f>
        <v>21439268.939474262</v>
      </c>
      <c r="C26" s="76">
        <f ca="1">SUM(C7:C24)</f>
        <v>22516142.07989962</v>
      </c>
      <c r="D26" s="76">
        <f ca="1">SUM(D7:D24)</f>
        <v>1507620.2274293674</v>
      </c>
      <c r="E26" s="3"/>
      <c r="F26" s="3"/>
      <c r="G26" s="3"/>
      <c r="H26" s="3"/>
      <c r="I26" s="3"/>
      <c r="J26" s="3"/>
      <c r="K26" s="79">
        <f>K25*EXP((LN(K25/K24))^2/LN(K24/K23))</f>
        <v>3.5780661735074382E-2</v>
      </c>
      <c r="L26" s="61">
        <f t="shared" si="8"/>
        <v>1.64695561279424</v>
      </c>
      <c r="M26" s="61">
        <f t="shared" ca="1" si="7"/>
        <v>1.8427834841150106</v>
      </c>
      <c r="N26" s="83">
        <f t="shared" ca="1" si="9"/>
        <v>2.4469189999716263E-2</v>
      </c>
      <c r="O26" s="81">
        <f ca="1">O27+2.5*(N27+N26)</f>
        <v>8.4521422587683623E-2</v>
      </c>
      <c r="P26" s="3"/>
      <c r="Q26" s="3"/>
      <c r="R26" s="3"/>
    </row>
    <row r="27" spans="1:18">
      <c r="A27" s="3"/>
      <c r="B27" s="3"/>
      <c r="C27" s="3"/>
      <c r="D27" s="3"/>
      <c r="E27" s="3"/>
      <c r="F27" s="3"/>
      <c r="G27" s="3"/>
      <c r="H27" s="3"/>
      <c r="I27" s="3"/>
      <c r="J27" s="3"/>
      <c r="K27" s="79">
        <f>K26*EXP((LN(K26/K25))^2/LN(K25/K24))</f>
        <v>6.822388188045956E-3</v>
      </c>
      <c r="L27" s="61">
        <f t="shared" si="8"/>
        <v>2.4903499635754627</v>
      </c>
      <c r="M27" s="61">
        <f t="shared" ca="1" si="7"/>
        <v>2.6809910336845695</v>
      </c>
      <c r="N27" s="83">
        <f t="shared" ca="1" si="9"/>
        <v>4.669689517678593E-3</v>
      </c>
      <c r="O27" s="81">
        <f ca="1">O28+2.5*(N28+N27)</f>
        <v>1.1674223794196482E-2</v>
      </c>
      <c r="P27" s="90"/>
      <c r="Q27" s="89"/>
      <c r="R27" s="3"/>
    </row>
    <row r="28" spans="1:18">
      <c r="A28" s="3"/>
      <c r="B28" s="3"/>
      <c r="C28" s="3"/>
      <c r="D28" s="3"/>
      <c r="E28" s="3"/>
      <c r="F28" s="3"/>
      <c r="G28" s="3"/>
      <c r="H28" s="3"/>
      <c r="I28" s="3"/>
      <c r="J28" s="3"/>
      <c r="K28" s="3"/>
      <c r="L28" s="3"/>
      <c r="M28" s="3"/>
      <c r="N28" s="3"/>
      <c r="O28" s="3"/>
      <c r="P28" s="90"/>
      <c r="Q28" s="89"/>
      <c r="R28" s="3"/>
    </row>
    <row r="29" spans="1:18">
      <c r="A29" s="3"/>
      <c r="B29" s="3"/>
      <c r="C29" s="3"/>
      <c r="D29" s="3"/>
      <c r="E29" s="3"/>
      <c r="F29" s="3"/>
      <c r="G29" s="3"/>
      <c r="H29" s="3"/>
      <c r="I29" s="3"/>
      <c r="J29" s="3"/>
      <c r="K29" s="3"/>
      <c r="L29" s="3"/>
      <c r="M29" s="3"/>
      <c r="N29" s="3"/>
      <c r="O29" s="3"/>
      <c r="P29" s="90"/>
      <c r="Q29" s="89"/>
      <c r="R29" s="3"/>
    </row>
    <row r="30" spans="1:18">
      <c r="A30" s="3"/>
      <c r="B30" s="3"/>
      <c r="C30" s="3"/>
      <c r="D30" s="3"/>
      <c r="E30" s="3"/>
      <c r="F30" s="3"/>
      <c r="G30" s="3"/>
      <c r="H30" s="3"/>
      <c r="I30" s="3"/>
      <c r="J30" s="3"/>
      <c r="K30" s="3"/>
      <c r="L30" s="3"/>
      <c r="M30" s="3"/>
      <c r="N30" s="3"/>
      <c r="O30" s="3"/>
      <c r="P30" s="90"/>
      <c r="Q30" s="89"/>
      <c r="R30" s="3"/>
    </row>
    <row r="31" spans="1:18">
      <c r="A31" s="3"/>
      <c r="B31" s="3"/>
      <c r="C31" s="3"/>
      <c r="D31" s="3"/>
      <c r="E31" s="3"/>
      <c r="F31" s="3"/>
      <c r="G31" s="3"/>
      <c r="H31" s="3"/>
      <c r="I31" s="3"/>
      <c r="J31" s="3"/>
      <c r="K31" s="3"/>
      <c r="L31" s="3"/>
      <c r="M31" s="3"/>
      <c r="N31" s="3"/>
      <c r="O31" s="3"/>
      <c r="P31" s="90"/>
      <c r="Q31" s="89"/>
      <c r="R31" s="3"/>
    </row>
    <row r="32" spans="1:18">
      <c r="A32" s="3"/>
      <c r="B32" s="3"/>
      <c r="C32" s="3"/>
      <c r="D32" s="3"/>
      <c r="E32" s="3"/>
      <c r="F32" s="3"/>
      <c r="G32" s="3"/>
      <c r="H32" s="3"/>
      <c r="I32" s="3"/>
      <c r="J32" s="3"/>
      <c r="K32" s="3"/>
      <c r="L32" s="3"/>
      <c r="M32" s="3"/>
      <c r="N32" s="3"/>
      <c r="O32" s="3"/>
      <c r="P32" s="90"/>
      <c r="Q32" s="89"/>
      <c r="R32" s="3"/>
    </row>
    <row r="33" spans="1:18">
      <c r="A33" s="3"/>
      <c r="B33" s="3"/>
      <c r="C33" s="3"/>
      <c r="D33" s="3"/>
      <c r="E33" s="3"/>
      <c r="F33" s="3"/>
      <c r="G33" s="3"/>
      <c r="H33" s="3"/>
      <c r="I33" s="3"/>
      <c r="J33" s="3"/>
      <c r="K33" s="3"/>
      <c r="L33" s="3"/>
      <c r="M33" s="3"/>
      <c r="N33" s="3"/>
      <c r="O33" s="3"/>
      <c r="P33" s="90"/>
      <c r="Q33" s="89"/>
      <c r="R33" s="3"/>
    </row>
    <row r="34" spans="1:18">
      <c r="A34" s="3"/>
      <c r="B34" s="3"/>
      <c r="C34" s="3"/>
      <c r="D34" s="3"/>
      <c r="E34" s="3"/>
      <c r="F34" s="3"/>
      <c r="G34" s="3"/>
      <c r="H34" s="3"/>
      <c r="I34" s="3"/>
      <c r="J34" s="3"/>
      <c r="K34" s="3"/>
      <c r="L34" s="3"/>
      <c r="M34" s="3"/>
      <c r="N34" s="3"/>
      <c r="O34" s="3"/>
      <c r="P34" s="90"/>
      <c r="Q34" s="89"/>
      <c r="R34" s="3"/>
    </row>
    <row r="35" spans="1:18">
      <c r="A35" s="3"/>
      <c r="B35" s="3"/>
      <c r="C35" s="3"/>
      <c r="D35" s="3"/>
      <c r="E35" s="3"/>
      <c r="F35" s="3"/>
      <c r="G35" s="3"/>
      <c r="H35" s="3"/>
      <c r="I35" s="3"/>
      <c r="J35" s="3"/>
      <c r="K35" s="3"/>
      <c r="L35" s="3"/>
      <c r="M35" s="3"/>
      <c r="N35" s="3"/>
      <c r="O35" s="3"/>
      <c r="P35" s="90"/>
      <c r="Q35" s="89"/>
      <c r="R35" s="3"/>
    </row>
    <row r="36" spans="1:18" ht="15">
      <c r="J36" s="85"/>
      <c r="K36" s="86"/>
      <c r="L36" s="86"/>
      <c r="M36" s="87"/>
      <c r="N36" s="86"/>
      <c r="O36" s="86"/>
      <c r="P36" s="90"/>
      <c r="Q36" s="86"/>
      <c r="R36" s="86"/>
    </row>
    <row r="37" spans="1:18" ht="15">
      <c r="J37" s="85"/>
      <c r="K37" s="86"/>
      <c r="L37" s="86"/>
      <c r="M37" s="87"/>
      <c r="N37" s="86"/>
      <c r="O37" s="86"/>
      <c r="P37" s="90"/>
      <c r="Q37" s="86"/>
      <c r="R37" s="86"/>
    </row>
    <row r="38" spans="1:18">
      <c r="P38" s="90"/>
    </row>
    <row r="39" spans="1:18">
      <c r="P39" s="90"/>
    </row>
    <row r="40" spans="1:18">
      <c r="P40" s="90"/>
    </row>
    <row r="41" spans="1:18">
      <c r="P41" s="90"/>
    </row>
    <row r="42" spans="1:18">
      <c r="P42" s="90"/>
    </row>
    <row r="43" spans="1:18">
      <c r="P43" s="90"/>
    </row>
    <row r="44" spans="1:18">
      <c r="P44" s="90"/>
    </row>
    <row r="45" spans="1:18">
      <c r="P45" s="90"/>
    </row>
    <row r="46" spans="1:18">
      <c r="P46" s="90"/>
    </row>
    <row r="47" spans="1:18">
      <c r="P47" s="90"/>
    </row>
    <row r="48" spans="1:18">
      <c r="P48" s="90"/>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S34"/>
  <sheetViews>
    <sheetView zoomScale="90" zoomScaleNormal="90" workbookViewId="0">
      <selection activeCell="S1" sqref="S1"/>
    </sheetView>
  </sheetViews>
  <sheetFormatPr defaultColWidth="9.140625" defaultRowHeight="12.75"/>
  <sheetData>
    <row r="34" spans="19:19">
      <c r="S34" s="1"/>
    </row>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Taux de mortalité</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2017-03-22T10:31:40Z</dcterms:modified>
</cp:coreProperties>
</file>